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iehall/Library/CloudStorage/Dropbox/EAGL/DeltaTrack/2024 Tucson/Content/HOMEWORK/"/>
    </mc:Choice>
  </mc:AlternateContent>
  <xr:revisionPtr revIDLastSave="0" documentId="13_ncr:1_{747115A9-7663-B94F-AEE5-F75888155F66}" xr6:coauthVersionLast="47" xr6:coauthVersionMax="47" xr10:uidLastSave="{00000000-0000-0000-0000-000000000000}"/>
  <bookViews>
    <workbookView xWindow="880" yWindow="500" windowWidth="43260" windowHeight="20500" xr2:uid="{00000000-000D-0000-FFFF-FFFF00000000}"/>
  </bookViews>
  <sheets>
    <sheet name="Data Entr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4" l="1"/>
  <c r="U40" i="4" l="1"/>
  <c r="U39" i="4" s="1"/>
  <c r="U42" i="4"/>
  <c r="U50" i="4" l="1"/>
  <c r="AG50" i="4" s="1"/>
  <c r="U45" i="4"/>
  <c r="AG45" i="4" s="1"/>
  <c r="U44" i="4"/>
  <c r="AG44" i="4" s="1"/>
  <c r="AG39" i="4"/>
  <c r="AG42" i="4"/>
  <c r="U47" i="4"/>
  <c r="AG47" i="4" s="1"/>
  <c r="AG13" i="4"/>
  <c r="U17" i="4"/>
  <c r="AG17" i="4" s="1"/>
  <c r="AG102" i="4"/>
  <c r="AG99" i="4"/>
  <c r="AG89" i="4"/>
  <c r="AG49" i="4"/>
  <c r="AG75" i="4" s="1"/>
  <c r="AG48" i="4"/>
  <c r="AG46" i="4"/>
  <c r="AG43" i="4"/>
  <c r="AG41" i="4"/>
  <c r="AG40" i="4"/>
  <c r="AG35" i="4"/>
  <c r="AG33" i="4"/>
  <c r="AG32" i="4"/>
  <c r="AG31" i="4"/>
  <c r="AG30" i="4"/>
  <c r="AG29" i="4"/>
  <c r="AG101" i="4" s="1"/>
  <c r="AG28" i="4"/>
  <c r="AG60" i="4" s="1"/>
  <c r="AG27" i="4"/>
  <c r="AG26" i="4"/>
  <c r="AG25" i="4"/>
  <c r="AG24" i="4"/>
  <c r="AG23" i="4"/>
  <c r="AG93" i="4" s="1"/>
  <c r="AG22" i="4"/>
  <c r="AG84" i="4" s="1"/>
  <c r="AG86" i="4" s="1"/>
  <c r="AG18" i="4"/>
  <c r="AG15" i="4"/>
  <c r="AG11" i="4"/>
  <c r="AG90" i="4" s="1"/>
  <c r="AG10" i="4"/>
  <c r="AG58" i="4" s="1"/>
  <c r="AG9" i="4"/>
  <c r="V38" i="4"/>
  <c r="V34" i="4"/>
  <c r="AG34" i="4" s="1"/>
  <c r="V28" i="4"/>
  <c r="V35" i="4" s="1"/>
  <c r="V12" i="4"/>
  <c r="V14" i="4" s="1"/>
  <c r="U12" i="4"/>
  <c r="T50" i="4"/>
  <c r="T48" i="4"/>
  <c r="T47" i="4"/>
  <c r="T45" i="4"/>
  <c r="T44" i="4"/>
  <c r="T42" i="4"/>
  <c r="T39" i="4"/>
  <c r="T32" i="4"/>
  <c r="T29" i="4"/>
  <c r="T27" i="4"/>
  <c r="T26" i="4"/>
  <c r="T22" i="4"/>
  <c r="AG38" i="4" l="1"/>
  <c r="AG69" i="4" s="1"/>
  <c r="U38" i="4"/>
  <c r="AG91" i="4"/>
  <c r="U14" i="4"/>
  <c r="AG14" i="4" s="1"/>
  <c r="AG71" i="4"/>
  <c r="AG73" i="4"/>
  <c r="AG72" i="4"/>
  <c r="AG97" i="4"/>
  <c r="AG70" i="4"/>
  <c r="AG78" i="4"/>
  <c r="AG98" i="4"/>
  <c r="AG94" i="4"/>
  <c r="AG104" i="4"/>
  <c r="AG103" i="4"/>
  <c r="AG105" i="4" s="1"/>
  <c r="AG76" i="4"/>
  <c r="AG85" i="4"/>
  <c r="AG96" i="4"/>
  <c r="AG12" i="4"/>
  <c r="V19" i="4"/>
  <c r="V16" i="4"/>
  <c r="S52" i="4"/>
  <c r="S44" i="4"/>
  <c r="S45" i="4"/>
  <c r="S50" i="4"/>
  <c r="S47" i="4"/>
  <c r="S46" i="4"/>
  <c r="U19" i="4" l="1"/>
  <c r="AG19" i="4" s="1"/>
  <c r="U16" i="4"/>
  <c r="AG16" i="4" s="1"/>
  <c r="AG64" i="4"/>
  <c r="AG81" i="4"/>
  <c r="AG83" i="4"/>
  <c r="AG79" i="4"/>
  <c r="AG65" i="4"/>
  <c r="AG106" i="4"/>
  <c r="S39" i="4"/>
  <c r="S42" i="4"/>
  <c r="S13" i="4"/>
  <c r="S17" i="4"/>
  <c r="AG66" i="4" l="1"/>
  <c r="AG63" i="4"/>
  <c r="AG61" i="4"/>
  <c r="AG77" i="4"/>
  <c r="AG59" i="4"/>
  <c r="AG57" i="4"/>
  <c r="AG67" i="4"/>
  <c r="AG82" i="4"/>
  <c r="AG87" i="4" s="1"/>
  <c r="AF50" i="4"/>
  <c r="AF49" i="4"/>
  <c r="AF48" i="4"/>
  <c r="AF47" i="4"/>
  <c r="AF46" i="4"/>
  <c r="AF45" i="4"/>
  <c r="AF44" i="4"/>
  <c r="AF43" i="4"/>
  <c r="AF42" i="4"/>
  <c r="AF41" i="4"/>
  <c r="AF40" i="4"/>
  <c r="AF39" i="4"/>
  <c r="AF33" i="4"/>
  <c r="AF32" i="4"/>
  <c r="AF31" i="4"/>
  <c r="AF30" i="4"/>
  <c r="AF29" i="4"/>
  <c r="AF27" i="4"/>
  <c r="AF26" i="4"/>
  <c r="AF25" i="4"/>
  <c r="AF24" i="4"/>
  <c r="AF23" i="4"/>
  <c r="AF22" i="4"/>
  <c r="AF18" i="4"/>
  <c r="AF17" i="4"/>
  <c r="AF15" i="4"/>
  <c r="AF13" i="4"/>
  <c r="AF11" i="4"/>
  <c r="AF10" i="4"/>
  <c r="AF9" i="4"/>
  <c r="T38" i="4"/>
  <c r="S38" i="4"/>
  <c r="T34" i="4"/>
  <c r="AF34" i="4" s="1"/>
  <c r="T28" i="4"/>
  <c r="T12" i="4"/>
  <c r="T14" i="4" s="1"/>
  <c r="S12" i="4"/>
  <c r="S14" i="4" s="1"/>
  <c r="R34" i="4"/>
  <c r="R28" i="4"/>
  <c r="Q48" i="4"/>
  <c r="P48" i="4"/>
  <c r="N48" i="4"/>
  <c r="K48" i="4"/>
  <c r="AF98" i="4" l="1"/>
  <c r="AF84" i="4"/>
  <c r="AF101" i="4"/>
  <c r="AF99" i="4"/>
  <c r="AF89" i="4"/>
  <c r="AF90" i="4"/>
  <c r="AF93" i="4"/>
  <c r="AF91" i="4"/>
  <c r="AF103" i="4"/>
  <c r="AF38" i="4"/>
  <c r="T35" i="4"/>
  <c r="AF35" i="4" s="1"/>
  <c r="AF102" i="4" s="1"/>
  <c r="AF69" i="4"/>
  <c r="AF71" i="4"/>
  <c r="AF14" i="4"/>
  <c r="AF72" i="4"/>
  <c r="AF73" i="4"/>
  <c r="AF70" i="4"/>
  <c r="AF76" i="4"/>
  <c r="AF78" i="4"/>
  <c r="AF75" i="4"/>
  <c r="AF28" i="4"/>
  <c r="AF12" i="4"/>
  <c r="T19" i="4"/>
  <c r="T16" i="4"/>
  <c r="S16" i="4"/>
  <c r="S19" i="4"/>
  <c r="R39" i="4"/>
  <c r="R41" i="4"/>
  <c r="AF106" i="4" l="1"/>
  <c r="AF104" i="4"/>
  <c r="AF97" i="4"/>
  <c r="AF94" i="4"/>
  <c r="AF105" i="4"/>
  <c r="AF96" i="4"/>
  <c r="AF85" i="4"/>
  <c r="AF86" i="4"/>
  <c r="AF60" i="4"/>
  <c r="AF58" i="4"/>
  <c r="AF19" i="4"/>
  <c r="AF16" i="4"/>
  <c r="R42" i="4"/>
  <c r="Q41" i="4"/>
  <c r="Q52" i="4"/>
  <c r="Q50" i="4"/>
  <c r="O50" i="4"/>
  <c r="Q45" i="4"/>
  <c r="Q40" i="4"/>
  <c r="Q39" i="4"/>
  <c r="Q44" i="4"/>
  <c r="Q43" i="4"/>
  <c r="Q42" i="4"/>
  <c r="AF83" i="4" l="1"/>
  <c r="AF81" i="4"/>
  <c r="AF79" i="4"/>
  <c r="AF65" i="4"/>
  <c r="AF64" i="4"/>
  <c r="AF82" i="4" s="1"/>
  <c r="AF87" i="4" s="1"/>
  <c r="AF63" i="4"/>
  <c r="AF59" i="4"/>
  <c r="AF57" i="4"/>
  <c r="AF61" i="4"/>
  <c r="AF77" i="4"/>
  <c r="AF66" i="4"/>
  <c r="Q47" i="4"/>
  <c r="AE47" i="4" s="1"/>
  <c r="AE39" i="4"/>
  <c r="AE13" i="4"/>
  <c r="AE50" i="4"/>
  <c r="AE49" i="4"/>
  <c r="AE75" i="4" s="1"/>
  <c r="AE48" i="4"/>
  <c r="AE46" i="4"/>
  <c r="AE45" i="4"/>
  <c r="AE44" i="4"/>
  <c r="AE43" i="4"/>
  <c r="AE42" i="4"/>
  <c r="AE41" i="4"/>
  <c r="AE40" i="4"/>
  <c r="AE33" i="4"/>
  <c r="AE32" i="4"/>
  <c r="AE31" i="4"/>
  <c r="AE30" i="4"/>
  <c r="AE29" i="4"/>
  <c r="AE103" i="4" s="1"/>
  <c r="AE27" i="4"/>
  <c r="AE26" i="4"/>
  <c r="AE25" i="4"/>
  <c r="AE24" i="4"/>
  <c r="AE23" i="4"/>
  <c r="AE22" i="4"/>
  <c r="AE18" i="4"/>
  <c r="AE17" i="4"/>
  <c r="AE15" i="4"/>
  <c r="AE11" i="4"/>
  <c r="AE10" i="4"/>
  <c r="AE9" i="4"/>
  <c r="R38" i="4"/>
  <c r="AE34" i="4"/>
  <c r="AE28" i="4"/>
  <c r="R12" i="4"/>
  <c r="R14" i="4" s="1"/>
  <c r="Q12" i="4"/>
  <c r="Q14" i="4" s="1"/>
  <c r="O13" i="4"/>
  <c r="P13" i="4"/>
  <c r="P27" i="4"/>
  <c r="AE99" i="4" l="1"/>
  <c r="AE98" i="4"/>
  <c r="AE84" i="4"/>
  <c r="AE85" i="4" s="1"/>
  <c r="AE101" i="4"/>
  <c r="AE90" i="4"/>
  <c r="AE89" i="4"/>
  <c r="AE93" i="4"/>
  <c r="AE91" i="4"/>
  <c r="AF67" i="4"/>
  <c r="AE14" i="4"/>
  <c r="AE76" i="4"/>
  <c r="AE38" i="4"/>
  <c r="AE69" i="4" s="1"/>
  <c r="Q38" i="4"/>
  <c r="AE71" i="4"/>
  <c r="AE78" i="4"/>
  <c r="AE70" i="4"/>
  <c r="AE72" i="4"/>
  <c r="AE58" i="4"/>
  <c r="AE73" i="4"/>
  <c r="R35" i="4"/>
  <c r="AE35" i="4" s="1"/>
  <c r="AE60" i="4" s="1"/>
  <c r="AE12" i="4"/>
  <c r="Q16" i="4"/>
  <c r="Q19" i="4"/>
  <c r="R19" i="4"/>
  <c r="R16" i="4"/>
  <c r="P50" i="4"/>
  <c r="AE97" i="4" l="1"/>
  <c r="AE94" i="4"/>
  <c r="AE96" i="4"/>
  <c r="AE102" i="4"/>
  <c r="AE86" i="4"/>
  <c r="AE105" i="4"/>
  <c r="AE16" i="4"/>
  <c r="AE19" i="4"/>
  <c r="AE81" i="4" l="1"/>
  <c r="AE83" i="4"/>
  <c r="AE106" i="4"/>
  <c r="AE104" i="4"/>
  <c r="AE64" i="4"/>
  <c r="AE82" i="4" s="1"/>
  <c r="AE65" i="4"/>
  <c r="AE79" i="4"/>
  <c r="AE63" i="4"/>
  <c r="AE59" i="4"/>
  <c r="AE61" i="4"/>
  <c r="AE77" i="4"/>
  <c r="AE66" i="4"/>
  <c r="AE57" i="4"/>
  <c r="P47" i="4"/>
  <c r="AE87" i="4" l="1"/>
  <c r="AE67" i="4"/>
  <c r="P45" i="4"/>
  <c r="P44" i="4"/>
  <c r="P42" i="4"/>
  <c r="P32" i="4"/>
  <c r="P29" i="4"/>
  <c r="P34" i="4" s="1"/>
  <c r="N27" i="4"/>
  <c r="L26" i="4"/>
  <c r="P26" i="4"/>
  <c r="N26" i="4"/>
  <c r="P22" i="4"/>
  <c r="P28" i="4" s="1"/>
  <c r="P18" i="4"/>
  <c r="P17" i="4"/>
  <c r="O46" i="4" l="1"/>
  <c r="N46" i="4"/>
  <c r="M46" i="4"/>
  <c r="O52" i="4" l="1"/>
  <c r="O45" i="4" l="1"/>
  <c r="O47" i="4"/>
  <c r="O44" i="4" l="1"/>
  <c r="O42" i="4"/>
  <c r="O39" i="4"/>
  <c r="O17" i="4"/>
  <c r="N44" i="4"/>
  <c r="N52" i="4"/>
  <c r="N50" i="4"/>
  <c r="N47" i="4" l="1"/>
  <c r="N45" i="4"/>
  <c r="N42" i="4"/>
  <c r="N40" i="4"/>
  <c r="N39" i="4" s="1"/>
  <c r="N32" i="4"/>
  <c r="N29" i="4"/>
  <c r="N34" i="4" s="1"/>
  <c r="N22" i="4" l="1"/>
  <c r="N28" i="4" s="1"/>
  <c r="N18" i="4"/>
  <c r="N17" i="4"/>
  <c r="M39" i="4"/>
  <c r="M47" i="4" l="1"/>
  <c r="M13" i="4"/>
  <c r="M52" i="4"/>
  <c r="M50" i="4"/>
  <c r="M45" i="4" l="1"/>
  <c r="M44" i="4"/>
  <c r="M42" i="4"/>
  <c r="M38" i="4" s="1"/>
  <c r="AD33" i="4" l="1"/>
  <c r="AC33" i="4"/>
  <c r="AB33" i="4"/>
  <c r="AA33" i="4"/>
  <c r="Z33" i="4"/>
  <c r="Y33" i="4"/>
  <c r="X33" i="4"/>
  <c r="AD27" i="4"/>
  <c r="AC27" i="4"/>
  <c r="Z27" i="4"/>
  <c r="Y27" i="4"/>
  <c r="X27" i="4"/>
  <c r="L50" i="4" l="1"/>
  <c r="K50" i="4"/>
  <c r="J50" i="4"/>
  <c r="I50" i="4"/>
  <c r="H50" i="4"/>
  <c r="G50" i="4"/>
  <c r="F50" i="4"/>
  <c r="E50" i="4"/>
  <c r="D50" i="4"/>
  <c r="C50" i="4"/>
  <c r="D26" i="4"/>
  <c r="D32" i="4"/>
  <c r="D29" i="4"/>
  <c r="D31" i="4"/>
  <c r="D30" i="4"/>
  <c r="D25" i="4"/>
  <c r="D22" i="4"/>
  <c r="H32" i="4"/>
  <c r="F32" i="4"/>
  <c r="H31" i="4"/>
  <c r="H29" i="4" s="1"/>
  <c r="H34" i="4" s="1"/>
  <c r="F31" i="4"/>
  <c r="F29" i="4" s="1"/>
  <c r="F34" i="4" s="1"/>
  <c r="F25" i="4"/>
  <c r="H25" i="4"/>
  <c r="H26" i="4"/>
  <c r="F26" i="4"/>
  <c r="F22" i="4"/>
  <c r="H22" i="4"/>
  <c r="L32" i="4"/>
  <c r="J32" i="4"/>
  <c r="J29" i="4"/>
  <c r="J34" i="4" s="1"/>
  <c r="L29" i="4"/>
  <c r="L31" i="4"/>
  <c r="J31" i="4"/>
  <c r="J26" i="4"/>
  <c r="L27" i="4"/>
  <c r="AB27" i="4" s="1"/>
  <c r="J27" i="4"/>
  <c r="AA27" i="4" s="1"/>
  <c r="J22" i="4"/>
  <c r="J28" i="4" s="1"/>
  <c r="L22" i="4"/>
  <c r="L28" i="4" s="1"/>
  <c r="L42" i="4"/>
  <c r="L44" i="4"/>
  <c r="L45" i="4"/>
  <c r="L47" i="4"/>
  <c r="L13" i="4"/>
  <c r="L17" i="4"/>
  <c r="D34" i="4" l="1"/>
  <c r="H28" i="4"/>
  <c r="F28" i="4"/>
  <c r="L34" i="4"/>
  <c r="D28" i="4"/>
  <c r="AD50" i="4"/>
  <c r="AC50" i="4"/>
  <c r="AD49" i="4"/>
  <c r="AC49" i="4"/>
  <c r="AC75" i="4" s="1"/>
  <c r="AD48" i="4"/>
  <c r="AC48" i="4"/>
  <c r="AD47" i="4"/>
  <c r="AC47" i="4"/>
  <c r="AD46" i="4"/>
  <c r="AC46" i="4"/>
  <c r="AD45" i="4"/>
  <c r="AC45" i="4"/>
  <c r="AD44" i="4"/>
  <c r="AC44" i="4"/>
  <c r="AD43" i="4"/>
  <c r="AC43" i="4"/>
  <c r="AD42" i="4"/>
  <c r="AC42" i="4"/>
  <c r="AD41" i="4"/>
  <c r="AC41" i="4"/>
  <c r="AD40" i="4"/>
  <c r="AC40" i="4"/>
  <c r="AD39" i="4"/>
  <c r="AC39" i="4"/>
  <c r="AD32" i="4"/>
  <c r="AC32" i="4"/>
  <c r="AD31" i="4"/>
  <c r="AC31" i="4"/>
  <c r="AD30" i="4"/>
  <c r="AC30" i="4"/>
  <c r="AD29" i="4"/>
  <c r="AC29" i="4"/>
  <c r="AD26" i="4"/>
  <c r="AC26" i="4"/>
  <c r="AD25" i="4"/>
  <c r="AC25" i="4"/>
  <c r="AD24" i="4"/>
  <c r="AC24" i="4"/>
  <c r="AD23" i="4"/>
  <c r="AC23" i="4"/>
  <c r="AD22" i="4"/>
  <c r="AC22" i="4"/>
  <c r="AD18" i="4"/>
  <c r="AC18" i="4"/>
  <c r="AD17" i="4"/>
  <c r="AC17" i="4"/>
  <c r="AD15" i="4"/>
  <c r="AC15" i="4"/>
  <c r="AD13" i="4"/>
  <c r="AC13" i="4"/>
  <c r="AD11" i="4"/>
  <c r="AC11" i="4"/>
  <c r="AD10" i="4"/>
  <c r="AC10" i="4"/>
  <c r="AD9" i="4"/>
  <c r="AC9" i="4"/>
  <c r="P38" i="4"/>
  <c r="O38" i="4"/>
  <c r="P12" i="4"/>
  <c r="P14" i="4" s="1"/>
  <c r="O12" i="4"/>
  <c r="O14" i="4" s="1"/>
  <c r="N38" i="4"/>
  <c r="AC34" i="4"/>
  <c r="N12" i="4"/>
  <c r="N14" i="4" s="1"/>
  <c r="M12" i="4"/>
  <c r="M14" i="4" s="1"/>
  <c r="AD101" i="4" l="1"/>
  <c r="AD99" i="4"/>
  <c r="AD84" i="4"/>
  <c r="AD98" i="4"/>
  <c r="AC103" i="4"/>
  <c r="AC101" i="4"/>
  <c r="AC98" i="4"/>
  <c r="AC84" i="4"/>
  <c r="AC85" i="4" s="1"/>
  <c r="AC99" i="4"/>
  <c r="AC93" i="4"/>
  <c r="AC91" i="4"/>
  <c r="AC89" i="4"/>
  <c r="AC96" i="4" s="1"/>
  <c r="AC90" i="4"/>
  <c r="AD103" i="4"/>
  <c r="AD105" i="4" s="1"/>
  <c r="AD91" i="4"/>
  <c r="AD90" i="4"/>
  <c r="AD89" i="4"/>
  <c r="AD93" i="4"/>
  <c r="AD96" i="4"/>
  <c r="AC38" i="4"/>
  <c r="AD34" i="4"/>
  <c r="P35" i="4"/>
  <c r="AD35" i="4" s="1"/>
  <c r="AD102" i="4" s="1"/>
  <c r="AD78" i="4"/>
  <c r="AD73" i="4"/>
  <c r="AD71" i="4"/>
  <c r="AD72" i="4"/>
  <c r="AD70" i="4"/>
  <c r="N35" i="4"/>
  <c r="AC35" i="4" s="1"/>
  <c r="AC102" i="4" s="1"/>
  <c r="AC104" i="4" s="1"/>
  <c r="AC14" i="4"/>
  <c r="AD75" i="4"/>
  <c r="AD76" i="4"/>
  <c r="AC76" i="4"/>
  <c r="AC71" i="4"/>
  <c r="AC72" i="4"/>
  <c r="AC78" i="4"/>
  <c r="AC73" i="4"/>
  <c r="AC70" i="4"/>
  <c r="AD38" i="4"/>
  <c r="AD69" i="4" s="1"/>
  <c r="AC69" i="4"/>
  <c r="AD14" i="4"/>
  <c r="AD12" i="4"/>
  <c r="AC12" i="4"/>
  <c r="AD28" i="4"/>
  <c r="AC28" i="4"/>
  <c r="O19" i="4"/>
  <c r="O16" i="4"/>
  <c r="P19" i="4"/>
  <c r="P16" i="4"/>
  <c r="M19" i="4"/>
  <c r="M16" i="4"/>
  <c r="N16" i="4"/>
  <c r="N19" i="4"/>
  <c r="AD106" i="4" l="1"/>
  <c r="AD104" i="4"/>
  <c r="AC106" i="4"/>
  <c r="AC105" i="4"/>
  <c r="AC94" i="4"/>
  <c r="AC97" i="4"/>
  <c r="AD85" i="4"/>
  <c r="AD86" i="4"/>
  <c r="AD97" i="4"/>
  <c r="AD94" i="4"/>
  <c r="AC86" i="4"/>
  <c r="AD60" i="4"/>
  <c r="AD58" i="4"/>
  <c r="AC60" i="4"/>
  <c r="AC58" i="4"/>
  <c r="AD19" i="4"/>
  <c r="AC19" i="4"/>
  <c r="AC16" i="4"/>
  <c r="AD16" i="4"/>
  <c r="AB50" i="4"/>
  <c r="AB49" i="4"/>
  <c r="AB75" i="4" s="1"/>
  <c r="AB48" i="4"/>
  <c r="AB73" i="4" s="1"/>
  <c r="AB47" i="4"/>
  <c r="AB72" i="4" s="1"/>
  <c r="AB46" i="4"/>
  <c r="AB45" i="4"/>
  <c r="AB44" i="4"/>
  <c r="AB43" i="4"/>
  <c r="AB42" i="4"/>
  <c r="AB41" i="4"/>
  <c r="AB40" i="4"/>
  <c r="AB39" i="4"/>
  <c r="AB18" i="4"/>
  <c r="AB17" i="4"/>
  <c r="AB15" i="4"/>
  <c r="AB13" i="4"/>
  <c r="AB11" i="4"/>
  <c r="AB10" i="4"/>
  <c r="AB9" i="4"/>
  <c r="AB32" i="4"/>
  <c r="AB31" i="4"/>
  <c r="AB30" i="4"/>
  <c r="AB29" i="4"/>
  <c r="AB26" i="4"/>
  <c r="AB25" i="4"/>
  <c r="AB24" i="4"/>
  <c r="AB23" i="4"/>
  <c r="AB22" i="4"/>
  <c r="AB99" i="4" l="1"/>
  <c r="AB84" i="4"/>
  <c r="AB101" i="4"/>
  <c r="AB98" i="4"/>
  <c r="AB76" i="4"/>
  <c r="AB85" i="4"/>
  <c r="AB103" i="4"/>
  <c r="AC83" i="4"/>
  <c r="AC81" i="4"/>
  <c r="AB90" i="4"/>
  <c r="AB93" i="4"/>
  <c r="AB91" i="4"/>
  <c r="AB89" i="4"/>
  <c r="AD83" i="4"/>
  <c r="AD81" i="4"/>
  <c r="AB71" i="4"/>
  <c r="AB70" i="4"/>
  <c r="AB78" i="4"/>
  <c r="AD65" i="4"/>
  <c r="AD64" i="4"/>
  <c r="AD82" i="4" s="1"/>
  <c r="AD79" i="4"/>
  <c r="AD66" i="4"/>
  <c r="AD61" i="4"/>
  <c r="AD59" i="4"/>
  <c r="AD57" i="4"/>
  <c r="AD63" i="4"/>
  <c r="AD77" i="4"/>
  <c r="AC79" i="4"/>
  <c r="AC65" i="4"/>
  <c r="AC64" i="4"/>
  <c r="AC82" i="4" s="1"/>
  <c r="AC77" i="4"/>
  <c r="AC66" i="4"/>
  <c r="AC63" i="4"/>
  <c r="AC59" i="4"/>
  <c r="AC61" i="4"/>
  <c r="AC57" i="4"/>
  <c r="AB38" i="4"/>
  <c r="AB69" i="4" s="1"/>
  <c r="AD87" i="4" l="1"/>
  <c r="AB105" i="4"/>
  <c r="AB97" i="4"/>
  <c r="AB94" i="4"/>
  <c r="AC87" i="4"/>
  <c r="AB96" i="4"/>
  <c r="AD67" i="4"/>
  <c r="AC67" i="4"/>
  <c r="L38" i="4"/>
  <c r="AB34" i="4"/>
  <c r="AB28" i="4"/>
  <c r="L12" i="4"/>
  <c r="L14" i="4" s="1"/>
  <c r="AA34" i="4"/>
  <c r="Z34" i="4"/>
  <c r="Y34" i="4"/>
  <c r="J35" i="4"/>
  <c r="AB58" i="4" l="1"/>
  <c r="H35" i="4"/>
  <c r="L35" i="4"/>
  <c r="AB35" i="4" s="1"/>
  <c r="L19" i="4"/>
  <c r="L16" i="4"/>
  <c r="D35" i="4"/>
  <c r="X34" i="4"/>
  <c r="F35" i="4"/>
  <c r="AA32" i="4"/>
  <c r="Z32" i="4"/>
  <c r="Y32" i="4"/>
  <c r="X32" i="4"/>
  <c r="AA31" i="4"/>
  <c r="Z31" i="4"/>
  <c r="Y31" i="4"/>
  <c r="X31" i="4"/>
  <c r="AA30" i="4"/>
  <c r="Z30" i="4"/>
  <c r="Y30" i="4"/>
  <c r="X30" i="4"/>
  <c r="AA29" i="4"/>
  <c r="AA103" i="4" s="1"/>
  <c r="Z29" i="4"/>
  <c r="Z103" i="4" s="1"/>
  <c r="Y29" i="4"/>
  <c r="Y103" i="4" s="1"/>
  <c r="X29" i="4"/>
  <c r="X103" i="4" s="1"/>
  <c r="AA22" i="4"/>
  <c r="Z22" i="4"/>
  <c r="Y22" i="4"/>
  <c r="X22" i="4"/>
  <c r="AA23" i="4"/>
  <c r="Z23" i="4"/>
  <c r="Y23" i="4"/>
  <c r="X23" i="4"/>
  <c r="AA24" i="4"/>
  <c r="Z24" i="4"/>
  <c r="Y24" i="4"/>
  <c r="X24" i="4"/>
  <c r="AA25" i="4"/>
  <c r="Z25" i="4"/>
  <c r="Y25" i="4"/>
  <c r="X25" i="4"/>
  <c r="AA26" i="4"/>
  <c r="Z26" i="4"/>
  <c r="Y26" i="4"/>
  <c r="X26" i="4"/>
  <c r="Y89" i="4" l="1"/>
  <c r="Y93" i="4"/>
  <c r="X89" i="4"/>
  <c r="X93" i="4"/>
  <c r="AA93" i="4"/>
  <c r="AA89" i="4"/>
  <c r="X105" i="4"/>
  <c r="Y105" i="4"/>
  <c r="Z93" i="4"/>
  <c r="Z89" i="4"/>
  <c r="X98" i="4"/>
  <c r="X84" i="4"/>
  <c r="X101" i="4"/>
  <c r="X99" i="4"/>
  <c r="Y84" i="4"/>
  <c r="Y101" i="4"/>
  <c r="Y98" i="4"/>
  <c r="Y99" i="4"/>
  <c r="AB102" i="4"/>
  <c r="AB86" i="4"/>
  <c r="Z98" i="4"/>
  <c r="Z84" i="4"/>
  <c r="Z101" i="4"/>
  <c r="Z99" i="4"/>
  <c r="AA99" i="4"/>
  <c r="AA98" i="4"/>
  <c r="AA101" i="4"/>
  <c r="AA84" i="4"/>
  <c r="AB60" i="4"/>
  <c r="X10" i="4"/>
  <c r="X11" i="4"/>
  <c r="X90" i="4" s="1"/>
  <c r="X9" i="4"/>
  <c r="D12" i="4"/>
  <c r="C12" i="4"/>
  <c r="X85" i="4" l="1"/>
  <c r="AA105" i="4"/>
  <c r="X96" i="4"/>
  <c r="AB106" i="4"/>
  <c r="AB104" i="4"/>
  <c r="X97" i="4"/>
  <c r="Z105" i="4"/>
  <c r="AA49" i="4"/>
  <c r="AA75" i="4" s="1"/>
  <c r="Z49" i="4"/>
  <c r="Z75" i="4" s="1"/>
  <c r="Y49" i="4"/>
  <c r="Y75" i="4" s="1"/>
  <c r="X49" i="4"/>
  <c r="X75" i="4" s="1"/>
  <c r="X76" i="4" l="1"/>
  <c r="AA50" i="4"/>
  <c r="Z50" i="4"/>
  <c r="Y50" i="4"/>
  <c r="X50" i="4"/>
  <c r="X78" i="4" s="1"/>
  <c r="AA48" i="4"/>
  <c r="Z48" i="4"/>
  <c r="Y48" i="4"/>
  <c r="X48" i="4"/>
  <c r="X73" i="4" s="1"/>
  <c r="AA35" i="4" l="1"/>
  <c r="AA28" i="4"/>
  <c r="Z35" i="4"/>
  <c r="Z28" i="4"/>
  <c r="Z60" i="4" s="1"/>
  <c r="Y35" i="4"/>
  <c r="Y28" i="4"/>
  <c r="Y60" i="4" s="1"/>
  <c r="X35" i="4"/>
  <c r="X28" i="4"/>
  <c r="AA13" i="4"/>
  <c r="Z13" i="4"/>
  <c r="Y13" i="4"/>
  <c r="X13" i="4"/>
  <c r="X94" i="4" s="1"/>
  <c r="AA47" i="4"/>
  <c r="Z47" i="4"/>
  <c r="Y47" i="4"/>
  <c r="Y72" i="4" s="1"/>
  <c r="X47" i="4"/>
  <c r="X72" i="4" s="1"/>
  <c r="AA46" i="4"/>
  <c r="Z46" i="4"/>
  <c r="Y46" i="4"/>
  <c r="X46" i="4"/>
  <c r="X71" i="4" s="1"/>
  <c r="AA45" i="4"/>
  <c r="Z45" i="4"/>
  <c r="Y45" i="4"/>
  <c r="Y70" i="4" s="1"/>
  <c r="X45" i="4"/>
  <c r="X70" i="4" s="1"/>
  <c r="AA44" i="4"/>
  <c r="Z44" i="4"/>
  <c r="Y44" i="4"/>
  <c r="X44" i="4"/>
  <c r="AA43" i="4"/>
  <c r="Z43" i="4"/>
  <c r="Y43" i="4"/>
  <c r="X43" i="4"/>
  <c r="AA42" i="4"/>
  <c r="Z42" i="4"/>
  <c r="Y42" i="4"/>
  <c r="X42" i="4"/>
  <c r="AA41" i="4"/>
  <c r="Z41" i="4"/>
  <c r="Y41" i="4"/>
  <c r="X41" i="4"/>
  <c r="AA40" i="4"/>
  <c r="Z40" i="4"/>
  <c r="Y40" i="4"/>
  <c r="X40" i="4"/>
  <c r="AA39" i="4"/>
  <c r="AA91" i="4" s="1"/>
  <c r="Z39" i="4"/>
  <c r="Z91" i="4" s="1"/>
  <c r="Y39" i="4"/>
  <c r="Y91" i="4" s="1"/>
  <c r="X39" i="4"/>
  <c r="X91" i="4" s="1"/>
  <c r="AA15" i="4"/>
  <c r="Z15" i="4"/>
  <c r="Y15" i="4"/>
  <c r="X15" i="4"/>
  <c r="AA18" i="4"/>
  <c r="Z18" i="4"/>
  <c r="Y18" i="4"/>
  <c r="X18" i="4"/>
  <c r="AA17" i="4"/>
  <c r="Z17" i="4"/>
  <c r="Y17" i="4"/>
  <c r="X17" i="4"/>
  <c r="AA11" i="4"/>
  <c r="Z11" i="4"/>
  <c r="Y11" i="4"/>
  <c r="AA10" i="4"/>
  <c r="Z10" i="4"/>
  <c r="Y10" i="4"/>
  <c r="AA9" i="4"/>
  <c r="Z9" i="4"/>
  <c r="Y9" i="4"/>
  <c r="AA78" i="4" l="1"/>
  <c r="AA96" i="4"/>
  <c r="AA85" i="4"/>
  <c r="AA97" i="4"/>
  <c r="Z90" i="4"/>
  <c r="Z94" i="4"/>
  <c r="Y102" i="4"/>
  <c r="Y86" i="4"/>
  <c r="X102" i="4"/>
  <c r="X86" i="4"/>
  <c r="AA90" i="4"/>
  <c r="AA94" i="4"/>
  <c r="Y90" i="4"/>
  <c r="Y94" i="4"/>
  <c r="Z102" i="4"/>
  <c r="Z86" i="4"/>
  <c r="Y85" i="4"/>
  <c r="Y97" i="4"/>
  <c r="Y96" i="4"/>
  <c r="Z96" i="4"/>
  <c r="Z85" i="4"/>
  <c r="Z97" i="4"/>
  <c r="AA102" i="4"/>
  <c r="AA86" i="4"/>
  <c r="AA71" i="4"/>
  <c r="Z76" i="4"/>
  <c r="Z58" i="4"/>
  <c r="X60" i="4"/>
  <c r="X58" i="4"/>
  <c r="Y76" i="4"/>
  <c r="Y58" i="4"/>
  <c r="Z71" i="4"/>
  <c r="Z78" i="4"/>
  <c r="Z70" i="4"/>
  <c r="AA70" i="4"/>
  <c r="AA73" i="4"/>
  <c r="Z72" i="4"/>
  <c r="Y78" i="4"/>
  <c r="Z73" i="4"/>
  <c r="AA76" i="4"/>
  <c r="AA72" i="4"/>
  <c r="Y71" i="4"/>
  <c r="Y73" i="4"/>
  <c r="AA58" i="4"/>
  <c r="AA60" i="4"/>
  <c r="Z38" i="4"/>
  <c r="Z69" i="4" s="1"/>
  <c r="Y38" i="4"/>
  <c r="Y69" i="4" s="1"/>
  <c r="AA38" i="4"/>
  <c r="AA69" i="4" s="1"/>
  <c r="X38" i="4"/>
  <c r="X69" i="4" s="1"/>
  <c r="K38" i="4"/>
  <c r="J38" i="4"/>
  <c r="I38" i="4"/>
  <c r="H38" i="4"/>
  <c r="G38" i="4"/>
  <c r="F38" i="4"/>
  <c r="E38" i="4"/>
  <c r="D38" i="4"/>
  <c r="C38" i="4"/>
  <c r="Y104" i="4" l="1"/>
  <c r="Y106" i="4"/>
  <c r="AA104" i="4"/>
  <c r="AA106" i="4"/>
  <c r="Z104" i="4"/>
  <c r="Z106" i="4"/>
  <c r="X106" i="4"/>
  <c r="X104" i="4"/>
  <c r="K12" i="4"/>
  <c r="J12" i="4"/>
  <c r="J14" i="4" s="1"/>
  <c r="I12" i="4"/>
  <c r="H12" i="4"/>
  <c r="H14" i="4" s="1"/>
  <c r="G12" i="4"/>
  <c r="F12" i="4"/>
  <c r="F14" i="4" s="1"/>
  <c r="E12" i="4"/>
  <c r="D14" i="4"/>
  <c r="K14" i="4" l="1"/>
  <c r="AB14" i="4" s="1"/>
  <c r="AB12" i="4"/>
  <c r="Y12" i="4"/>
  <c r="F19" i="4"/>
  <c r="F16" i="4"/>
  <c r="J19" i="4"/>
  <c r="J16" i="4"/>
  <c r="D19" i="4"/>
  <c r="D16" i="4"/>
  <c r="X12" i="4"/>
  <c r="Z12" i="4"/>
  <c r="K19" i="4"/>
  <c r="AB19" i="4" s="1"/>
  <c r="K16" i="4"/>
  <c r="AB16" i="4" s="1"/>
  <c r="H19" i="4"/>
  <c r="H16" i="4"/>
  <c r="AA12" i="4"/>
  <c r="C14" i="4"/>
  <c r="C16" i="4" s="1"/>
  <c r="G14" i="4"/>
  <c r="G16" i="4" s="1"/>
  <c r="E14" i="4"/>
  <c r="E16" i="4" s="1"/>
  <c r="I14" i="4"/>
  <c r="I16" i="4" s="1"/>
  <c r="AB83" i="4" l="1"/>
  <c r="AB81" i="4"/>
  <c r="AB59" i="4"/>
  <c r="AB57" i="4"/>
  <c r="AB63" i="4"/>
  <c r="AB77" i="4"/>
  <c r="AB66" i="4"/>
  <c r="AB61" i="4"/>
  <c r="AB65" i="4"/>
  <c r="AB79" i="4"/>
  <c r="AB64" i="4"/>
  <c r="AB82" i="4" s="1"/>
  <c r="Z16" i="4"/>
  <c r="X16" i="4"/>
  <c r="Y16" i="4"/>
  <c r="AA16" i="4"/>
  <c r="AA14" i="4"/>
  <c r="I19" i="4"/>
  <c r="AA19" i="4" s="1"/>
  <c r="Y14" i="4"/>
  <c r="E19" i="4"/>
  <c r="Y19" i="4" s="1"/>
  <c r="Z14" i="4"/>
  <c r="G19" i="4"/>
  <c r="Z19" i="4" s="1"/>
  <c r="X14" i="4"/>
  <c r="C19" i="4"/>
  <c r="X19" i="4" s="1"/>
  <c r="Y83" i="4" l="1"/>
  <c r="Y81" i="4"/>
  <c r="AA83" i="4"/>
  <c r="AA81" i="4"/>
  <c r="X81" i="4"/>
  <c r="X83" i="4"/>
  <c r="AB87" i="4"/>
  <c r="Z83" i="4"/>
  <c r="Z81" i="4"/>
  <c r="X57" i="4"/>
  <c r="X63" i="4"/>
  <c r="X66" i="4"/>
  <c r="X77" i="4"/>
  <c r="X59" i="4"/>
  <c r="X61" i="4"/>
  <c r="Y65" i="4"/>
  <c r="Y79" i="4"/>
  <c r="Y64" i="4"/>
  <c r="Y82" i="4" s="1"/>
  <c r="AA79" i="4"/>
  <c r="AA64" i="4"/>
  <c r="AA82" i="4" s="1"/>
  <c r="AA65" i="4"/>
  <c r="X65" i="4"/>
  <c r="X79" i="4"/>
  <c r="X64" i="4"/>
  <c r="X82" i="4" s="1"/>
  <c r="X87" i="4" s="1"/>
  <c r="Y63" i="4"/>
  <c r="Y57" i="4"/>
  <c r="Y59" i="4"/>
  <c r="Y61" i="4"/>
  <c r="Y77" i="4"/>
  <c r="Y66" i="4"/>
  <c r="Z59" i="4"/>
  <c r="Z61" i="4"/>
  <c r="Z66" i="4"/>
  <c r="Z63" i="4"/>
  <c r="Z57" i="4"/>
  <c r="Z77" i="4"/>
  <c r="Z79" i="4"/>
  <c r="Z64" i="4"/>
  <c r="Z82" i="4" s="1"/>
  <c r="Z65" i="4"/>
  <c r="AA57" i="4"/>
  <c r="AA66" i="4"/>
  <c r="AA77" i="4"/>
  <c r="AA63" i="4"/>
  <c r="AA59" i="4"/>
  <c r="AA61" i="4"/>
  <c r="AB67" i="4"/>
  <c r="Z87" i="4" l="1"/>
  <c r="Y87" i="4"/>
  <c r="AA87" i="4"/>
  <c r="AA67" i="4"/>
  <c r="X67" i="4"/>
  <c r="Z67" i="4"/>
  <c r="Y6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tc={1AB22C14-D1C0-0E40-9608-147F8B952D44}</author>
  </authors>
  <commentList>
    <comment ref="AG58" authorId="0" shapeId="0" xr:uid="{1AB22C14-D1C0-0E40-9608-147F8B952D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Trees represent about 30-40% of the portfolio.
</t>
      </text>
    </comment>
  </commentList>
</comments>
</file>

<file path=xl/sharedStrings.xml><?xml version="1.0" encoding="utf-8"?>
<sst xmlns="http://schemas.openxmlformats.org/spreadsheetml/2006/main" count="226" uniqueCount="127">
  <si>
    <t>Shrink (S)</t>
  </si>
  <si>
    <t>Net Worth (S)</t>
  </si>
  <si>
    <t>Total Assets (S)</t>
  </si>
  <si>
    <t>Gross sales ($)</t>
  </si>
  <si>
    <t>Income statement data</t>
  </si>
  <si>
    <t>Balance  sheet data</t>
  </si>
  <si>
    <t>Special focus metrics</t>
  </si>
  <si>
    <t xml:space="preserve">    c.  In-house driver labor ($)</t>
  </si>
  <si>
    <t xml:space="preserve">    d.  SG&amp;A labor ($)</t>
  </si>
  <si>
    <t xml:space="preserve">    a.  Production/growing labor ($)</t>
  </si>
  <si>
    <t xml:space="preserve">    b.  Contract (H2A or temp) labor ($)</t>
  </si>
  <si>
    <t xml:space="preserve">    e. Owner's compensation ($)</t>
  </si>
  <si>
    <t>Total Transportation Costs ($)</t>
  </si>
  <si>
    <t>Gross Profit</t>
  </si>
  <si>
    <t>Net sales ($)</t>
  </si>
  <si>
    <t>Total Cost of Goods Sold (COGS) ($)</t>
  </si>
  <si>
    <t>Selling, General, &amp; Administrative expenses (SG&amp;A) ($)</t>
  </si>
  <si>
    <t>Interest expenses ($)</t>
  </si>
  <si>
    <t>Taxes expenses ($)</t>
  </si>
  <si>
    <t>Miscellaneous income/expenses</t>
  </si>
  <si>
    <t xml:space="preserve">    f. Employee burden ($)</t>
  </si>
  <si>
    <t xml:space="preserve">Total Labor Dollars ($)                        </t>
  </si>
  <si>
    <t>Earnings before interest and taxes (EBIT)</t>
  </si>
  <si>
    <t>Net Profit (EAT) ($)</t>
  </si>
  <si>
    <t>Capital expenditures ($) (CAPEX)</t>
  </si>
  <si>
    <t>2015 Jan-Jun</t>
  </si>
  <si>
    <t>Full-time equivalents (FTE's)</t>
  </si>
  <si>
    <t>Cash</t>
  </si>
  <si>
    <t>Net fixed assets</t>
  </si>
  <si>
    <t>Accounts receivable</t>
  </si>
  <si>
    <t>Inventory</t>
  </si>
  <si>
    <t>Prepaid expenses</t>
  </si>
  <si>
    <t>Short-term debt</t>
  </si>
  <si>
    <t>Accounts payable</t>
  </si>
  <si>
    <t>Accrued expenses</t>
  </si>
  <si>
    <t>Long-term liabilities</t>
  </si>
  <si>
    <t>2015 Jul-Dec</t>
  </si>
  <si>
    <t>2016 Jan-Jun</t>
  </si>
  <si>
    <t>2016 Jul-Dec</t>
  </si>
  <si>
    <t>2017 Jan-Jun</t>
  </si>
  <si>
    <t>2017 Jul-Dec</t>
  </si>
  <si>
    <t>2018 Jan-Jun</t>
  </si>
  <si>
    <t>2018 Jul-Dec</t>
  </si>
  <si>
    <t>2019 Jan-Jun</t>
  </si>
  <si>
    <t>2019 Jul-Dec</t>
  </si>
  <si>
    <t>Operating Profit (operating income)</t>
  </si>
  <si>
    <t>Net Profit margin (net profit/net sales)</t>
  </si>
  <si>
    <t>Asset turnover (net sales/total assets)</t>
  </si>
  <si>
    <t>Return on assets (net profit/total assets)</t>
  </si>
  <si>
    <t>Financial leverage (total assets/net worth)</t>
  </si>
  <si>
    <t>Return on equity (net profit/net worth)</t>
  </si>
  <si>
    <t>EBITDA (net profit + deprec. + interest + taxes)</t>
  </si>
  <si>
    <t>Operating profit margin (EBIT/net sales)</t>
  </si>
  <si>
    <t>Payroll as % of net sales</t>
  </si>
  <si>
    <t>Transportation as a % of net sales</t>
  </si>
  <si>
    <t>Shrink as a % of net sales</t>
  </si>
  <si>
    <t>Depreciation as a % of net sales</t>
  </si>
  <si>
    <t>CAPEX as a % of net sales</t>
  </si>
  <si>
    <t>Full Year 2015</t>
  </si>
  <si>
    <t>Full Year 2016</t>
  </si>
  <si>
    <t>Full Year 2017</t>
  </si>
  <si>
    <t>Full Year 2018</t>
  </si>
  <si>
    <t>CHARLIE'S CHECK SECTION -- DO NOT ENTER ANYTHING HERE -- AUTOMATICALLY POPULATES</t>
  </si>
  <si>
    <t>Nursery or Greenhouse:</t>
  </si>
  <si>
    <t>Cash or Accrual:</t>
  </si>
  <si>
    <t>Firm ID:</t>
  </si>
  <si>
    <t>Full Year 2019</t>
  </si>
  <si>
    <t>2020 Jan-Jun</t>
  </si>
  <si>
    <t>2020 Jul-Dec</t>
  </si>
  <si>
    <t>2021 Jan-Jun</t>
  </si>
  <si>
    <t>2021 Jul-Dec</t>
  </si>
  <si>
    <t>Full Year 2020</t>
  </si>
  <si>
    <t>Full Year 2021</t>
  </si>
  <si>
    <t>Selling, General, &amp; Admin. expenses (SG&amp;A) ($)</t>
  </si>
  <si>
    <t>Lease payments (S)</t>
  </si>
  <si>
    <t>Lease payments as a % of net sales</t>
  </si>
  <si>
    <t>CHARLIE'S CHECK (DO NOT MODIFY)</t>
  </si>
  <si>
    <t>Full-time equivalents (FTE's) (#)</t>
  </si>
  <si>
    <t>(Enter year end only)</t>
  </si>
  <si>
    <t>Greenhouse</t>
  </si>
  <si>
    <t>Accrual</t>
  </si>
  <si>
    <t>Lease Payments for Land/Greenhouse only</t>
  </si>
  <si>
    <t>Other miscellaneous assets</t>
  </si>
  <si>
    <t>Other miscellaneous liabilities</t>
  </si>
  <si>
    <t>Financial cost ratio = Interest efficiency (EBT/EBIT)</t>
  </si>
  <si>
    <t>Tax effect ratio = Tax efficiency (EAT/EBT)</t>
  </si>
  <si>
    <t>Adjusted return on equity (Operating profit margin * Asset turnover * Leverage factor * Financial cost ratio * Tax effect ratio)</t>
  </si>
  <si>
    <t>Net sales per FTE</t>
  </si>
  <si>
    <t>Net profit per FTE</t>
  </si>
  <si>
    <t>Fixed charge coverage ratio = (EBIT+leases)/(interest+leases)</t>
  </si>
  <si>
    <t>Return on invested capital (EBIT/invested capital) ====&gt; Compare to WACC</t>
  </si>
  <si>
    <t>Return on invested capital (Operating profit margin * Capital turnover) ====&gt; Compare to WACC</t>
  </si>
  <si>
    <t>Return on capital employed (EBIT/(ST debt + LT debt + net worth) ====&gt; Compare to WACC</t>
  </si>
  <si>
    <t>Capital turnover (Sales/invested capital)</t>
  </si>
  <si>
    <t>Re-adjusted return on equity (Operating profit margin * Capital turnover * Financial structure ratio * Financial cost ratio * Tax effect ratio)</t>
  </si>
  <si>
    <t>Total Liabilities</t>
  </si>
  <si>
    <t>Depreciation/Amortization Expenses ($)</t>
  </si>
  <si>
    <t>2022 Jan-Jun</t>
  </si>
  <si>
    <t>2022 Jul-Dec</t>
  </si>
  <si>
    <t>Full Year 2022</t>
  </si>
  <si>
    <t>Distribution outlet(s)?</t>
  </si>
  <si>
    <t>No</t>
  </si>
  <si>
    <t>Box store grower?</t>
  </si>
  <si>
    <t>Yes</t>
  </si>
  <si>
    <t>2023 Jan-Jun</t>
  </si>
  <si>
    <t>2023 Jul-Dec</t>
  </si>
  <si>
    <t>Full Year 2023</t>
  </si>
  <si>
    <t>Invested capital (cash + WC + net fixed assets)</t>
  </si>
  <si>
    <t>Financial structure ratio (invested capital / net worth) -- replaces ROA in the SPM</t>
  </si>
  <si>
    <t>Alternative Net Working Capital Requirement Method 1 = (AR in low period + inventory at low period) - (COGS/6)</t>
  </si>
  <si>
    <t>Alternative Net Working Capital Requirement Method 2 = (AR in low period + inventory at low period) - (AP+direct labor/6)</t>
  </si>
  <si>
    <t>Net Working Capital Ratio = (AR + inventory + pre-paid expenses) ÷ (AP + accrued expenses)  -- Aggregate version is in the Historic tab</t>
  </si>
  <si>
    <t>Net Working Capital Days of Coverage = Net working capital calculation / [(COGS + SG&amp;A) ÷ 260] -- for each company board. (Loosely referred to as BURN RATE). Aggregate version is in the Historic tab</t>
  </si>
  <si>
    <t>Current ratio = (current assets/current liabilities)</t>
  </si>
  <si>
    <t>Quick ratio or Acid test = (cash + receivables / current liabilities) -- inventory is backed out of the calculation</t>
  </si>
  <si>
    <t>Traditional working capital calculation (current assets - current liabilities)</t>
  </si>
  <si>
    <t>Net Long-term financing (NLF) = (Long-term liabilities + Net worth - Net fixed assets)</t>
  </si>
  <si>
    <t>Net Short-term financing (NSF) = (Short-term debt - Cash)</t>
  </si>
  <si>
    <t>Liquidity ratio = NLF / WCR (percent of WCR financed by Long-term funds) = the higher this ratio, the more liquid the firm.</t>
  </si>
  <si>
    <t>Percent of WCR financed by Short-term financing = NSF/WCR</t>
  </si>
  <si>
    <t>Check (should equal line 89)</t>
  </si>
  <si>
    <t xml:space="preserve">Operating working capital = Net Working Capital Requirement (WCR) Calculation = (AR + inventory + pre-paid expenses) less (AP + accrued expenses) </t>
  </si>
  <si>
    <t>2024 Jan-Jun</t>
  </si>
  <si>
    <t>2024 Jul-Dec</t>
  </si>
  <si>
    <t>Full Year 2024</t>
  </si>
  <si>
    <t>Working capital requirement to sales ratio = (ratio of working capital requirement to sales)(lower is better)</t>
  </si>
  <si>
    <t>Working capital turnover ratio = Net annual sales / Working capital (also called Working Capital Productivity)(higher is better)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</si>
</sst>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0.0"/>
    <numFmt numFmtId="167" formatCode="#,##0.0"/>
    <numFmt numFmtId="168" formatCode="_(&quot;$&quot;* #,##0_);_(&quot;$&quot;* \(#,##0\);_(&quot;$&quot;* &quot;-&quot;??_);_(@_)"/>
  </numFmts>
  <fonts count="44" x14ac:knownFonts="1">
    <font>
      <sz val="12"/>
      <color rgb="FF000000"/>
      <name val="Calibri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rgb="FF929000"/>
      <name val="Calibri"/>
      <family val="2"/>
    </font>
    <font>
      <b/>
      <sz val="12"/>
      <color rgb="FF000000"/>
      <name val="Calibri"/>
      <family val="2"/>
    </font>
    <font>
      <b/>
      <sz val="12"/>
      <color rgb="FF70AD47"/>
      <name val="Calibri"/>
      <family val="2"/>
    </font>
    <font>
      <sz val="12"/>
      <color rgb="FFFF0000"/>
      <name val="Calibri (Body)"/>
    </font>
    <font>
      <b/>
      <sz val="12"/>
      <color rgb="FFFF0000"/>
      <name val="Calibri"/>
      <family val="2"/>
    </font>
    <font>
      <b/>
      <sz val="12"/>
      <color rgb="FFFF0000"/>
      <name val="Calibri (Body)"/>
    </font>
    <font>
      <sz val="12"/>
      <color rgb="FFFF0000"/>
      <name val="Calibri"/>
      <family val="2"/>
    </font>
    <font>
      <sz val="12"/>
      <color rgb="FF7030A0"/>
      <name val="Calibri"/>
      <family val="2"/>
    </font>
    <font>
      <b/>
      <sz val="12"/>
      <color rgb="FF7030A0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theme="7" tint="-0.249977111117893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rgb="FF0070C0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Helvetica"/>
      <family val="2"/>
    </font>
    <font>
      <sz val="12"/>
      <color rgb="FFFF0000"/>
      <name val="Helvetica"/>
      <family val="2"/>
    </font>
    <font>
      <sz val="12"/>
      <color rgb="FF000000"/>
      <name val="Helvetica"/>
      <family val="2"/>
    </font>
    <font>
      <b/>
      <sz val="14"/>
      <color rgb="FFC00000"/>
      <name val="Calibri"/>
      <family val="2"/>
    </font>
    <font>
      <b/>
      <sz val="12"/>
      <color rgb="FFC00000"/>
      <name val="Calibri"/>
      <family val="2"/>
    </font>
    <font>
      <b/>
      <sz val="12"/>
      <color rgb="FF000000"/>
      <name val="Helvetica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Helvetica"/>
      <family val="2"/>
    </font>
    <font>
      <b/>
      <u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8" tint="-0.249977111117893"/>
      <name val="Calibri"/>
      <family val="2"/>
    </font>
    <font>
      <b/>
      <sz val="12"/>
      <color rgb="FF0070C0"/>
      <name val="Calibri (Body)"/>
    </font>
    <font>
      <sz val="12"/>
      <color rgb="FF0070C0"/>
      <name val="Calibri (Body)"/>
    </font>
    <font>
      <sz val="12"/>
      <color theme="8" tint="-0.249977111117893"/>
      <name val="Calibri"/>
      <family val="2"/>
      <scheme val="minor"/>
    </font>
    <font>
      <sz val="12"/>
      <color theme="8" tint="-0.249977111117893"/>
      <name val="Calibri (Body)"/>
    </font>
    <font>
      <b/>
      <sz val="12"/>
      <color theme="8" tint="-0.249977111117893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9" tint="0.79998168889431442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3" fillId="0" borderId="0" applyFont="0" applyFill="0" applyBorder="0" applyAlignment="0" applyProtection="0"/>
    <xf numFmtId="44" fontId="37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wrapText="1"/>
    </xf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4" fontId="2" fillId="4" borderId="1" xfId="0" applyNumberFormat="1" applyFont="1" applyFill="1" applyBorder="1" applyProtection="1">
      <protection locked="0"/>
    </xf>
    <xf numFmtId="164" fontId="8" fillId="3" borderId="1" xfId="0" applyNumberFormat="1" applyFont="1" applyFill="1" applyBorder="1"/>
    <xf numFmtId="164" fontId="2" fillId="0" borderId="0" xfId="0" applyNumberFormat="1" applyFont="1"/>
    <xf numFmtId="164" fontId="2" fillId="0" borderId="1" xfId="0" applyNumberFormat="1" applyFont="1" applyBorder="1" applyProtection="1">
      <protection locked="0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0" fontId="11" fillId="0" borderId="0" xfId="2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5" fontId="11" fillId="0" borderId="0" xfId="2" applyNumberFormat="1" applyFont="1" applyAlignment="1">
      <alignment horizontal="right"/>
    </xf>
    <xf numFmtId="0" fontId="22" fillId="0" borderId="0" xfId="0" applyFont="1" applyAlignment="1">
      <alignment horizontal="right"/>
    </xf>
    <xf numFmtId="9" fontId="11" fillId="0" borderId="0" xfId="2" applyFont="1" applyAlignment="1">
      <alignment horizontal="right"/>
    </xf>
    <xf numFmtId="0" fontId="24" fillId="6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left"/>
    </xf>
    <xf numFmtId="0" fontId="6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164" fontId="2" fillId="4" borderId="4" xfId="0" applyNumberFormat="1" applyFont="1" applyFill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0" fontId="6" fillId="0" borderId="7" xfId="0" applyFont="1" applyBorder="1" applyAlignment="1">
      <alignment horizontal="right"/>
    </xf>
    <xf numFmtId="164" fontId="2" fillId="4" borderId="8" xfId="0" applyNumberFormat="1" applyFont="1" applyFill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164" fontId="2" fillId="3" borderId="7" xfId="0" applyNumberFormat="1" applyFont="1" applyFill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27" fillId="0" borderId="0" xfId="0" applyFont="1" applyAlignment="1">
      <alignment horizontal="right"/>
    </xf>
    <xf numFmtId="0" fontId="6" fillId="3" borderId="0" xfId="0" applyFont="1" applyFill="1"/>
    <xf numFmtId="0" fontId="2" fillId="3" borderId="0" xfId="0" applyFont="1" applyFill="1"/>
    <xf numFmtId="0" fontId="7" fillId="0" borderId="0" xfId="0" applyFont="1" applyAlignment="1">
      <alignment horizontal="right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9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7" fontId="2" fillId="0" borderId="0" xfId="0" applyNumberFormat="1" applyFont="1"/>
    <xf numFmtId="167" fontId="2" fillId="0" borderId="8" xfId="0" applyNumberFormat="1" applyFont="1" applyBorder="1"/>
    <xf numFmtId="167" fontId="8" fillId="0" borderId="1" xfId="0" applyNumberFormat="1" applyFont="1" applyBorder="1" applyAlignment="1">
      <alignment horizontal="right"/>
    </xf>
    <xf numFmtId="0" fontId="28" fillId="0" borderId="0" xfId="0" applyFont="1" applyAlignment="1">
      <alignment horizontal="left" vertical="center" indent="1"/>
    </xf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7" xfId="0" applyFont="1" applyBorder="1" applyAlignment="1">
      <alignment horizontal="right"/>
    </xf>
    <xf numFmtId="0" fontId="29" fillId="0" borderId="0" xfId="1" applyFont="1" applyFill="1"/>
    <xf numFmtId="0" fontId="28" fillId="0" borderId="1" xfId="0" applyFont="1" applyBorder="1" applyAlignment="1">
      <alignment horizontal="right"/>
    </xf>
    <xf numFmtId="0" fontId="28" fillId="0" borderId="0" xfId="0" applyFont="1" applyAlignment="1">
      <alignment vertical="center"/>
    </xf>
    <xf numFmtId="164" fontId="6" fillId="8" borderId="1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/>
    <xf numFmtId="164" fontId="6" fillId="7" borderId="0" xfId="0" applyNumberFormat="1" applyFont="1" applyFill="1" applyAlignment="1">
      <alignment horizontal="center" vertical="center"/>
    </xf>
    <xf numFmtId="164" fontId="6" fillId="7" borderId="1" xfId="0" applyNumberFormat="1" applyFont="1" applyFill="1" applyBorder="1"/>
    <xf numFmtId="164" fontId="6" fillId="7" borderId="4" xfId="0" applyNumberFormat="1" applyFont="1" applyFill="1" applyBorder="1"/>
    <xf numFmtId="164" fontId="6" fillId="7" borderId="0" xfId="0" applyNumberFormat="1" applyFont="1" applyFill="1" applyAlignment="1">
      <alignment horizontal="center"/>
    </xf>
    <xf numFmtId="164" fontId="6" fillId="7" borderId="1" xfId="0" applyNumberFormat="1" applyFont="1" applyFill="1" applyBorder="1" applyProtection="1">
      <protection locked="0"/>
    </xf>
    <xf numFmtId="164" fontId="6" fillId="7" borderId="8" xfId="0" applyNumberFormat="1" applyFont="1" applyFill="1" applyBorder="1" applyProtection="1">
      <protection locked="0"/>
    </xf>
    <xf numFmtId="164" fontId="6" fillId="7" borderId="4" xfId="0" applyNumberFormat="1" applyFont="1" applyFill="1" applyBorder="1" applyProtection="1">
      <protection locked="0"/>
    </xf>
    <xf numFmtId="0" fontId="33" fillId="0" borderId="0" xfId="0" applyFont="1" applyAlignment="1">
      <alignment horizontal="right"/>
    </xf>
    <xf numFmtId="0" fontId="33" fillId="0" borderId="7" xfId="0" applyFont="1" applyBorder="1" applyAlignment="1">
      <alignment horizontal="right"/>
    </xf>
    <xf numFmtId="167" fontId="13" fillId="0" borderId="0" xfId="0" applyNumberFormat="1" applyFont="1" applyAlignment="1">
      <alignment horizontal="left" vertical="center" wrapText="1" indent="1"/>
    </xf>
    <xf numFmtId="167" fontId="13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5" fillId="0" borderId="0" xfId="0" applyNumberFormat="1" applyFont="1" applyAlignment="1">
      <alignment horizontal="right" wrapText="1"/>
    </xf>
    <xf numFmtId="164" fontId="19" fillId="7" borderId="0" xfId="0" applyNumberFormat="1" applyFont="1" applyFill="1" applyAlignment="1">
      <alignment horizontal="left" vertical="center" wrapText="1" indent="3"/>
    </xf>
    <xf numFmtId="164" fontId="5" fillId="7" borderId="0" xfId="0" applyNumberFormat="1" applyFont="1" applyFill="1" applyAlignment="1">
      <alignment horizontal="right" wrapText="1"/>
    </xf>
    <xf numFmtId="164" fontId="6" fillId="7" borderId="0" xfId="0" applyNumberFormat="1" applyFont="1" applyFill="1"/>
    <xf numFmtId="164" fontId="4" fillId="7" borderId="0" xfId="0" applyNumberFormat="1" applyFont="1" applyFill="1" applyAlignment="1">
      <alignment vertical="center" wrapText="1"/>
    </xf>
    <xf numFmtId="164" fontId="6" fillId="0" borderId="0" xfId="0" applyNumberFormat="1" applyFont="1"/>
    <xf numFmtId="164" fontId="4" fillId="0" borderId="0" xfId="0" applyNumberFormat="1" applyFont="1" applyAlignment="1">
      <alignment horizontal="left" vertical="center" indent="1"/>
    </xf>
    <xf numFmtId="164" fontId="4" fillId="0" borderId="0" xfId="0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left" vertical="center" wrapText="1" indent="1"/>
    </xf>
    <xf numFmtId="164" fontId="5" fillId="3" borderId="0" xfId="0" applyNumberFormat="1" applyFont="1" applyFill="1" applyAlignment="1">
      <alignment horizontal="right" wrapText="1"/>
    </xf>
    <xf numFmtId="164" fontId="31" fillId="0" borderId="0" xfId="0" applyNumberFormat="1" applyFont="1" applyAlignment="1">
      <alignment horizontal="left" vertical="center" indent="1"/>
    </xf>
    <xf numFmtId="164" fontId="28" fillId="0" borderId="1" xfId="0" applyNumberFormat="1" applyFont="1" applyBorder="1" applyAlignment="1">
      <alignment horizontal="right"/>
    </xf>
    <xf numFmtId="164" fontId="31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left" vertical="center" wrapText="1" indent="1"/>
    </xf>
    <xf numFmtId="164" fontId="12" fillId="0" borderId="0" xfId="0" applyNumberFormat="1" applyFont="1" applyAlignment="1">
      <alignment horizontal="left" vertical="center" wrapText="1" indent="2"/>
    </xf>
    <xf numFmtId="164" fontId="5" fillId="7" borderId="0" xfId="0" applyNumberFormat="1" applyFont="1" applyFill="1" applyAlignment="1">
      <alignment horizontal="right" vertical="center" wrapText="1"/>
    </xf>
    <xf numFmtId="164" fontId="6" fillId="7" borderId="0" xfId="0" applyNumberFormat="1" applyFont="1" applyFill="1" applyAlignment="1">
      <alignment vertical="center"/>
    </xf>
    <xf numFmtId="164" fontId="13" fillId="7" borderId="0" xfId="0" applyNumberFormat="1" applyFont="1" applyFill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164" fontId="4" fillId="3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/>
    </xf>
    <xf numFmtId="164" fontId="30" fillId="0" borderId="7" xfId="0" applyNumberFormat="1" applyFont="1" applyBorder="1" applyAlignment="1">
      <alignment horizontal="right"/>
    </xf>
    <xf numFmtId="164" fontId="33" fillId="0" borderId="0" xfId="0" applyNumberFormat="1" applyFont="1" applyAlignment="1">
      <alignment horizontal="right"/>
    </xf>
    <xf numFmtId="164" fontId="33" fillId="0" borderId="7" xfId="0" applyNumberFormat="1" applyFont="1" applyBorder="1" applyAlignment="1">
      <alignment horizontal="right"/>
    </xf>
    <xf numFmtId="164" fontId="14" fillId="7" borderId="0" xfId="0" applyNumberFormat="1" applyFont="1" applyFill="1" applyAlignment="1">
      <alignment horizontal="left" vertical="center" wrapText="1" indent="1"/>
    </xf>
    <xf numFmtId="164" fontId="14" fillId="7" borderId="0" xfId="0" applyNumberFormat="1" applyFont="1" applyFill="1" applyAlignment="1">
      <alignment horizontal="left" vertical="center" wrapText="1"/>
    </xf>
    <xf numFmtId="164" fontId="14" fillId="0" borderId="0" xfId="0" applyNumberFormat="1" applyFont="1" applyAlignment="1">
      <alignment horizontal="left" vertical="center" wrapText="1" indent="1"/>
    </xf>
    <xf numFmtId="164" fontId="14" fillId="0" borderId="0" xfId="0" applyNumberFormat="1" applyFont="1" applyAlignment="1">
      <alignment horizontal="left" vertical="center" wrapText="1"/>
    </xf>
    <xf numFmtId="164" fontId="15" fillId="0" borderId="0" xfId="0" applyNumberFormat="1" applyFont="1" applyAlignment="1">
      <alignment horizontal="left" vertical="center" wrapText="1" indent="1"/>
    </xf>
    <xf numFmtId="164" fontId="15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 indent="1"/>
    </xf>
    <xf numFmtId="164" fontId="16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horizontal="left" vertical="center" wrapText="1" indent="1"/>
    </xf>
    <xf numFmtId="164" fontId="17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left" vertical="center" wrapText="1" indent="1"/>
    </xf>
    <xf numFmtId="164" fontId="1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34" fillId="0" borderId="0" xfId="0" applyFont="1"/>
    <xf numFmtId="165" fontId="11" fillId="0" borderId="0" xfId="0" applyNumberFormat="1" applyFont="1" applyAlignment="1">
      <alignment horizontal="right"/>
    </xf>
    <xf numFmtId="164" fontId="2" fillId="9" borderId="0" xfId="0" applyNumberFormat="1" applyFont="1" applyFill="1" applyAlignment="1">
      <alignment horizontal="center"/>
    </xf>
    <xf numFmtId="164" fontId="2" fillId="3" borderId="7" xfId="0" applyNumberFormat="1" applyFont="1" applyFill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6" fillId="7" borderId="8" xfId="0" applyNumberFormat="1" applyFont="1" applyFill="1" applyBorder="1" applyAlignment="1">
      <alignment horizontal="right"/>
    </xf>
    <xf numFmtId="164" fontId="6" fillId="7" borderId="8" xfId="0" applyNumberFormat="1" applyFont="1" applyFill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7" fontId="2" fillId="0" borderId="8" xfId="0" applyNumberFormat="1" applyFont="1" applyBorder="1" applyAlignment="1">
      <alignment horizontal="right"/>
    </xf>
    <xf numFmtId="0" fontId="2" fillId="3" borderId="0" xfId="0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6" fillId="7" borderId="4" xfId="0" applyNumberFormat="1" applyFont="1" applyFill="1" applyBorder="1" applyAlignment="1">
      <alignment horizontal="right"/>
    </xf>
    <xf numFmtId="164" fontId="6" fillId="7" borderId="4" xfId="0" applyNumberFormat="1" applyFont="1" applyFill="1" applyBorder="1" applyAlignment="1" applyProtection="1">
      <alignment horizontal="right"/>
      <protection locked="0"/>
    </xf>
    <xf numFmtId="164" fontId="2" fillId="8" borderId="1" xfId="0" applyNumberFormat="1" applyFont="1" applyFill="1" applyBorder="1" applyAlignment="1">
      <alignment horizontal="right" vertical="center" wrapText="1"/>
    </xf>
    <xf numFmtId="164" fontId="6" fillId="8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4" fontId="31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/>
    </xf>
    <xf numFmtId="164" fontId="2" fillId="8" borderId="1" xfId="0" applyNumberFormat="1" applyFont="1" applyFill="1" applyBorder="1" applyAlignment="1">
      <alignment horizontal="center" vertical="center"/>
    </xf>
    <xf numFmtId="164" fontId="32" fillId="0" borderId="8" xfId="0" applyNumberFormat="1" applyFont="1" applyBorder="1" applyAlignment="1">
      <alignment horizontal="center" vertical="center"/>
    </xf>
    <xf numFmtId="164" fontId="2" fillId="8" borderId="4" xfId="0" applyNumberFormat="1" applyFont="1" applyFill="1" applyBorder="1" applyAlignment="1">
      <alignment horizontal="center" vertical="center"/>
    </xf>
    <xf numFmtId="164" fontId="32" fillId="0" borderId="8" xfId="0" applyNumberFormat="1" applyFont="1" applyBorder="1" applyAlignment="1">
      <alignment horizontal="right" vertical="center"/>
    </xf>
    <xf numFmtId="164" fontId="2" fillId="8" borderId="1" xfId="0" applyNumberFormat="1" applyFont="1" applyFill="1" applyBorder="1" applyAlignment="1">
      <alignment horizontal="right" vertical="center"/>
    </xf>
    <xf numFmtId="168" fontId="2" fillId="0" borderId="0" xfId="3" applyNumberFormat="1" applyFont="1"/>
    <xf numFmtId="167" fontId="38" fillId="0" borderId="0" xfId="0" applyNumberFormat="1" applyFont="1" applyAlignment="1">
      <alignment horizontal="right"/>
    </xf>
    <xf numFmtId="164" fontId="38" fillId="0" borderId="0" xfId="0" applyNumberFormat="1" applyFont="1" applyAlignment="1">
      <alignment horizontal="right"/>
    </xf>
    <xf numFmtId="0" fontId="11" fillId="0" borderId="0" xfId="0" applyFont="1"/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164" fontId="41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right"/>
    </xf>
    <xf numFmtId="0" fontId="42" fillId="0" borderId="0" xfId="0" applyFont="1"/>
    <xf numFmtId="0" fontId="43" fillId="0" borderId="0" xfId="0" applyFont="1"/>
    <xf numFmtId="2" fontId="42" fillId="0" borderId="0" xfId="0" applyNumberFormat="1" applyFont="1" applyAlignment="1">
      <alignment horizontal="right"/>
    </xf>
    <xf numFmtId="1" fontId="42" fillId="0" borderId="0" xfId="0" applyNumberFormat="1" applyFont="1" applyAlignment="1">
      <alignment horizontal="right"/>
    </xf>
    <xf numFmtId="9" fontId="42" fillId="0" borderId="0" xfId="2" applyFont="1" applyAlignment="1">
      <alignment horizontal="right"/>
    </xf>
    <xf numFmtId="0" fontId="38" fillId="0" borderId="0" xfId="0" applyFont="1"/>
    <xf numFmtId="165" fontId="38" fillId="0" borderId="0" xfId="2" applyNumberFormat="1" applyFont="1" applyAlignment="1">
      <alignment horizontal="right"/>
    </xf>
    <xf numFmtId="8" fontId="2" fillId="0" borderId="4" xfId="0" applyNumberFormat="1" applyFont="1" applyBorder="1" applyAlignment="1" applyProtection="1">
      <alignment horizontal="right"/>
      <protection locked="0"/>
    </xf>
    <xf numFmtId="8" fontId="2" fillId="0" borderId="8" xfId="0" applyNumberFormat="1" applyFont="1" applyBorder="1" applyAlignment="1">
      <alignment horizontal="right"/>
    </xf>
    <xf numFmtId="164" fontId="32" fillId="0" borderId="8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5" fontId="11" fillId="5" borderId="0" xfId="2" applyNumberFormat="1" applyFont="1" applyFill="1" applyAlignment="1">
      <alignment horizontal="right"/>
    </xf>
    <xf numFmtId="165" fontId="11" fillId="0" borderId="0" xfId="2" applyNumberFormat="1" applyFont="1" applyFill="1" applyAlignment="1">
      <alignment horizontal="right"/>
    </xf>
    <xf numFmtId="164" fontId="19" fillId="7" borderId="0" xfId="0" applyNumberFormat="1" applyFont="1" applyFill="1" applyAlignment="1">
      <alignment horizontal="left" vertical="center" wrapText="1" indent="3"/>
    </xf>
    <xf numFmtId="164" fontId="19" fillId="7" borderId="6" xfId="0" applyNumberFormat="1" applyFont="1" applyFill="1" applyBorder="1" applyAlignment="1">
      <alignment horizontal="left" vertical="center" wrapText="1" indent="3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5" borderId="2" xfId="0" applyFont="1" applyFill="1" applyBorder="1" applyAlignment="1">
      <alignment horizontal="left" wrapText="1" indent="12"/>
    </xf>
    <xf numFmtId="0" fontId="19" fillId="5" borderId="3" xfId="0" applyFont="1" applyFill="1" applyBorder="1" applyAlignment="1">
      <alignment horizontal="left" wrapText="1" indent="12"/>
    </xf>
    <xf numFmtId="0" fontId="19" fillId="5" borderId="4" xfId="0" applyFont="1" applyFill="1" applyBorder="1" applyAlignment="1">
      <alignment horizontal="left" wrapText="1" indent="12"/>
    </xf>
    <xf numFmtId="0" fontId="23" fillId="0" borderId="0" xfId="0" applyFont="1" applyAlignment="1">
      <alignment horizontal="center"/>
    </xf>
  </cellXfs>
  <cellStyles count="4">
    <cellStyle name="20% - Accent3 2" xfId="1" xr:uid="{A9635BF5-5EC0-7148-9F8B-FB9736266218}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B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875453</xdr:colOff>
      <xdr:row>0</xdr:row>
      <xdr:rowOff>0</xdr:rowOff>
    </xdr:from>
    <xdr:ext cx="1820333" cy="12192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B592DFAD-8A44-6C40-8287-84B87120FC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1373" y="0"/>
          <a:ext cx="1820333" cy="12192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rlie Hall" id="{7BEB9D8D-B6E4-3D45-966D-936EACEC15A8}" userId="Charlie Hall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58" dT="2024-05-28T21:10:33.46" personId="{7BEB9D8D-B6E4-3D45-966D-936EACEC15A8}" id="{1AB22C14-D1C0-0E40-9608-147F8B952D44}">
    <text xml:space="preserve">Trees represent about 30-40% of the portfolio.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BF93-9F5E-404D-B4CB-55C2432D9A32}">
  <sheetPr>
    <pageSetUpPr fitToPage="1"/>
  </sheetPr>
  <dimension ref="A1:AW106"/>
  <sheetViews>
    <sheetView tabSelected="1" topLeftCell="AE88" zoomScale="170" zoomScaleNormal="170" workbookViewId="0">
      <selection activeCell="AI97" sqref="AI97"/>
    </sheetView>
  </sheetViews>
  <sheetFormatPr baseColWidth="10" defaultColWidth="22" defaultRowHeight="16" outlineLevelRow="1" outlineLevelCol="1" x14ac:dyDescent="0.2"/>
  <cols>
    <col min="1" max="1" width="38.6640625" style="24" bestFit="1" customWidth="1"/>
    <col min="2" max="2" width="3.33203125" style="2" customWidth="1"/>
    <col min="3" max="13" width="15.83203125" style="2" customWidth="1" outlineLevel="1"/>
    <col min="14" max="14" width="15.83203125" style="1" customWidth="1" outlineLevel="1"/>
    <col min="15" max="15" width="15.83203125" style="2" customWidth="1" outlineLevel="1"/>
    <col min="16" max="16" width="15.83203125" style="1" customWidth="1" outlineLevel="1"/>
    <col min="17" max="17" width="15.83203125" style="1" customWidth="1" outlineLevel="1" collapsed="1"/>
    <col min="18" max="18" width="15.83203125" style="1" customWidth="1" outlineLevel="1"/>
    <col min="19" max="22" width="15.83203125" style="1" customWidth="1"/>
    <col min="23" max="23" width="4.33203125" style="2" customWidth="1"/>
    <col min="24" max="30" width="15.83203125" style="2" customWidth="1" outlineLevel="1"/>
    <col min="31" max="32" width="15.83203125" style="1" customWidth="1"/>
    <col min="33" max="33" width="15.83203125" style="2" hidden="1" customWidth="1"/>
    <col min="34" max="34" width="3" style="2" customWidth="1"/>
    <col min="35" max="35" width="48" style="2" customWidth="1"/>
    <col min="36" max="16384" width="22" style="2"/>
  </cols>
  <sheetData>
    <row r="1" spans="1:49" x14ac:dyDescent="0.2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49" x14ac:dyDescent="0.2">
      <c r="A2" s="23"/>
      <c r="C2" s="8" t="s">
        <v>65</v>
      </c>
      <c r="D2" s="22"/>
      <c r="E2" s="8" t="s">
        <v>63</v>
      </c>
      <c r="F2" s="22" t="s">
        <v>79</v>
      </c>
      <c r="G2" s="8" t="s">
        <v>64</v>
      </c>
      <c r="H2" s="22" t="s">
        <v>80</v>
      </c>
      <c r="I2" s="167"/>
      <c r="J2" s="168"/>
      <c r="K2" s="168"/>
    </row>
    <row r="3" spans="1:49" x14ac:dyDescent="0.2">
      <c r="A3" s="134"/>
      <c r="C3" s="8"/>
      <c r="D3" s="135"/>
      <c r="E3" s="8" t="s">
        <v>100</v>
      </c>
      <c r="F3" s="22" t="s">
        <v>101</v>
      </c>
      <c r="G3" s="8"/>
      <c r="H3" s="135"/>
      <c r="I3" s="133"/>
      <c r="J3" s="133"/>
      <c r="K3" s="133"/>
      <c r="L3" s="1"/>
      <c r="AF3" s="2"/>
      <c r="AG3" s="1"/>
      <c r="AJ3" s="133"/>
      <c r="AK3" s="133"/>
    </row>
    <row r="4" spans="1:49" x14ac:dyDescent="0.2">
      <c r="A4" s="134"/>
      <c r="C4" s="8"/>
      <c r="D4" s="135"/>
      <c r="E4" s="8" t="s">
        <v>102</v>
      </c>
      <c r="F4" s="22" t="s">
        <v>103</v>
      </c>
      <c r="G4" s="8"/>
      <c r="H4" s="135"/>
      <c r="I4" s="133"/>
      <c r="J4" s="133"/>
      <c r="K4" s="133"/>
      <c r="L4" s="1"/>
      <c r="AF4" s="2"/>
      <c r="AG4" s="1"/>
      <c r="AJ4" s="133"/>
      <c r="AK4" s="133"/>
    </row>
    <row r="5" spans="1:49" ht="19" outlineLevel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</row>
    <row r="6" spans="1:49" x14ac:dyDescent="0.2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36"/>
      <c r="M6" s="5"/>
      <c r="N6" s="117"/>
      <c r="O6" s="5"/>
      <c r="P6" s="117"/>
      <c r="Q6" s="126"/>
      <c r="R6" s="117"/>
      <c r="S6" s="126"/>
      <c r="T6" s="117"/>
      <c r="U6" s="126"/>
      <c r="V6" s="117"/>
      <c r="W6" s="7"/>
      <c r="X6" s="6"/>
      <c r="Y6" s="6"/>
      <c r="Z6" s="6"/>
      <c r="AA6" s="6"/>
      <c r="AB6" s="6"/>
      <c r="AC6" s="6"/>
      <c r="AD6" s="6"/>
      <c r="AE6" s="126"/>
      <c r="AF6" s="126"/>
      <c r="AG6" s="6"/>
      <c r="AH6" s="10"/>
      <c r="AI6" s="10"/>
    </row>
    <row r="7" spans="1:49" s="1" customFormat="1" ht="16" customHeight="1" x14ac:dyDescent="0.2">
      <c r="A7" s="8"/>
      <c r="C7" s="8"/>
      <c r="D7" s="29"/>
      <c r="E7" s="8"/>
      <c r="F7" s="29"/>
      <c r="G7" s="8"/>
      <c r="H7" s="29"/>
      <c r="I7" s="8"/>
      <c r="J7" s="29"/>
      <c r="K7" s="8"/>
      <c r="L7" s="29"/>
      <c r="M7" s="8"/>
      <c r="N7" s="29"/>
      <c r="O7" s="8"/>
      <c r="P7" s="29"/>
      <c r="Q7" s="8"/>
      <c r="R7" s="29"/>
      <c r="S7" s="8"/>
      <c r="T7" s="29"/>
      <c r="U7" s="8"/>
      <c r="V7" s="29"/>
      <c r="W7" s="8"/>
      <c r="X7" s="169" t="s">
        <v>62</v>
      </c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J7" s="40"/>
      <c r="AK7" s="40"/>
      <c r="AL7" s="40"/>
      <c r="AM7" s="40"/>
      <c r="AN7" s="40"/>
      <c r="AO7" s="40"/>
      <c r="AP7" s="40"/>
      <c r="AQ7" s="40"/>
      <c r="AR7" s="40"/>
    </row>
    <row r="8" spans="1:49" s="53" customFormat="1" ht="19" x14ac:dyDescent="0.25">
      <c r="A8" s="52" t="s">
        <v>4</v>
      </c>
      <c r="C8" s="54" t="s">
        <v>25</v>
      </c>
      <c r="D8" s="55" t="s">
        <v>36</v>
      </c>
      <c r="E8" s="54" t="s">
        <v>37</v>
      </c>
      <c r="F8" s="55" t="s">
        <v>38</v>
      </c>
      <c r="G8" s="54" t="s">
        <v>39</v>
      </c>
      <c r="H8" s="55" t="s">
        <v>40</v>
      </c>
      <c r="I8" s="54" t="s">
        <v>41</v>
      </c>
      <c r="J8" s="55" t="s">
        <v>42</v>
      </c>
      <c r="K8" s="54" t="s">
        <v>43</v>
      </c>
      <c r="L8" s="55" t="s">
        <v>44</v>
      </c>
      <c r="M8" s="68" t="s">
        <v>67</v>
      </c>
      <c r="N8" s="69" t="s">
        <v>68</v>
      </c>
      <c r="O8" s="68" t="s">
        <v>69</v>
      </c>
      <c r="P8" s="69" t="s">
        <v>70</v>
      </c>
      <c r="Q8" s="68" t="s">
        <v>97</v>
      </c>
      <c r="R8" s="69" t="s">
        <v>98</v>
      </c>
      <c r="S8" s="68" t="s">
        <v>104</v>
      </c>
      <c r="T8" s="69" t="s">
        <v>105</v>
      </c>
      <c r="U8" s="68" t="s">
        <v>122</v>
      </c>
      <c r="V8" s="69" t="s">
        <v>123</v>
      </c>
      <c r="W8" s="56"/>
      <c r="X8" s="57" t="s">
        <v>58</v>
      </c>
      <c r="Y8" s="57" t="s">
        <v>59</v>
      </c>
      <c r="Z8" s="57" t="s">
        <v>60</v>
      </c>
      <c r="AA8" s="57" t="s">
        <v>61</v>
      </c>
      <c r="AB8" s="57" t="s">
        <v>66</v>
      </c>
      <c r="AC8" s="57" t="s">
        <v>71</v>
      </c>
      <c r="AD8" s="57" t="s">
        <v>72</v>
      </c>
      <c r="AE8" s="57" t="s">
        <v>99</v>
      </c>
      <c r="AF8" s="57" t="s">
        <v>106</v>
      </c>
      <c r="AG8" s="57" t="s">
        <v>124</v>
      </c>
      <c r="AI8" s="58" t="s">
        <v>4</v>
      </c>
    </row>
    <row r="9" spans="1:49" s="11" customFormat="1" ht="17" x14ac:dyDescent="0.2">
      <c r="A9" s="72" t="s">
        <v>3</v>
      </c>
      <c r="B9" s="73"/>
      <c r="C9" s="9">
        <v>17706206</v>
      </c>
      <c r="D9" s="30">
        <v>3849699</v>
      </c>
      <c r="E9" s="27">
        <v>22789207</v>
      </c>
      <c r="F9" s="30">
        <v>4221992</v>
      </c>
      <c r="G9" s="27">
        <v>23633798</v>
      </c>
      <c r="H9" s="30">
        <v>4063131</v>
      </c>
      <c r="I9" s="27">
        <v>25866368</v>
      </c>
      <c r="J9" s="30">
        <v>4077092</v>
      </c>
      <c r="K9" s="34">
        <v>31494056.199999999</v>
      </c>
      <c r="L9" s="35">
        <v>6140005.54</v>
      </c>
      <c r="M9" s="34">
        <v>33245469.940000001</v>
      </c>
      <c r="N9" s="118">
        <v>6506092</v>
      </c>
      <c r="O9" s="34">
        <v>36413450.380000003</v>
      </c>
      <c r="P9" s="118">
        <v>6230338.5099999998</v>
      </c>
      <c r="Q9" s="127">
        <v>35587813.890000001</v>
      </c>
      <c r="R9" s="118">
        <v>8652846.7599999998</v>
      </c>
      <c r="S9" s="127">
        <v>39086450</v>
      </c>
      <c r="T9" s="118">
        <v>8357208.0999999996</v>
      </c>
      <c r="U9" s="127">
        <v>43259130</v>
      </c>
      <c r="V9" s="118"/>
      <c r="W9" s="116"/>
      <c r="X9" s="44">
        <f>C9+D9</f>
        <v>21555905</v>
      </c>
      <c r="Y9" s="44">
        <f t="shared" ref="Y9:Y19" si="0">E9+F9</f>
        <v>27011199</v>
      </c>
      <c r="Z9" s="44">
        <f t="shared" ref="Z9:Z19" si="1">G9+H9</f>
        <v>27696929</v>
      </c>
      <c r="AA9" s="44">
        <f t="shared" ref="AA9:AA19" si="2">I9+J9</f>
        <v>29943460</v>
      </c>
      <c r="AB9" s="44">
        <f t="shared" ref="AB9:AB19" si="3">K9+L9</f>
        <v>37634061.740000002</v>
      </c>
      <c r="AC9" s="44">
        <f t="shared" ref="AC9:AC19" si="4">M9+N9</f>
        <v>39751561.939999998</v>
      </c>
      <c r="AD9" s="44">
        <f t="shared" ref="AD9:AD19" si="5">O9+P9</f>
        <v>42643788.890000001</v>
      </c>
      <c r="AE9" s="44">
        <f t="shared" ref="AE9:AE19" si="6">Q9+R9</f>
        <v>44240660.649999999</v>
      </c>
      <c r="AF9" s="44">
        <f t="shared" ref="AF9:AF19" si="7">S9+T9</f>
        <v>47443658.100000001</v>
      </c>
      <c r="AG9" s="44">
        <f t="shared" ref="AG9:AG19" si="8">U9+V9</f>
        <v>43259130</v>
      </c>
      <c r="AI9" s="72" t="s">
        <v>3</v>
      </c>
    </row>
    <row r="10" spans="1:49" s="11" customFormat="1" ht="17" x14ac:dyDescent="0.2">
      <c r="A10" s="72" t="s">
        <v>14</v>
      </c>
      <c r="B10" s="73"/>
      <c r="C10" s="9">
        <v>17244123</v>
      </c>
      <c r="D10" s="30">
        <v>3708399</v>
      </c>
      <c r="E10" s="27">
        <v>22198462</v>
      </c>
      <c r="F10" s="30">
        <v>3837409</v>
      </c>
      <c r="G10" s="27">
        <v>23000423</v>
      </c>
      <c r="H10" s="30">
        <v>3773894</v>
      </c>
      <c r="I10" s="27">
        <v>25151773</v>
      </c>
      <c r="J10" s="30">
        <v>3713855</v>
      </c>
      <c r="K10" s="34">
        <v>28343553.98</v>
      </c>
      <c r="L10" s="35">
        <v>5260254.42</v>
      </c>
      <c r="M10" s="34">
        <v>28856303.710000001</v>
      </c>
      <c r="N10" s="118">
        <v>5818616</v>
      </c>
      <c r="O10" s="34">
        <v>31672271.98</v>
      </c>
      <c r="P10" s="118">
        <v>5559620.0300000003</v>
      </c>
      <c r="Q10" s="127">
        <v>32535697.960000001</v>
      </c>
      <c r="R10" s="118">
        <v>7507373.1299999999</v>
      </c>
      <c r="S10" s="127">
        <v>35575284</v>
      </c>
      <c r="T10" s="118">
        <v>7073313.4900000002</v>
      </c>
      <c r="U10" s="127">
        <v>39369527</v>
      </c>
      <c r="V10" s="118"/>
      <c r="W10" s="116"/>
      <c r="X10" s="44">
        <f>C10+D10</f>
        <v>20952522</v>
      </c>
      <c r="Y10" s="44">
        <f t="shared" si="0"/>
        <v>26035871</v>
      </c>
      <c r="Z10" s="44">
        <f t="shared" si="1"/>
        <v>26774317</v>
      </c>
      <c r="AA10" s="44">
        <f t="shared" si="2"/>
        <v>28865628</v>
      </c>
      <c r="AB10" s="44">
        <f t="shared" si="3"/>
        <v>33603808.399999999</v>
      </c>
      <c r="AC10" s="44">
        <f t="shared" si="4"/>
        <v>34674919.710000001</v>
      </c>
      <c r="AD10" s="44">
        <f t="shared" si="5"/>
        <v>37231892.009999998</v>
      </c>
      <c r="AE10" s="44">
        <f t="shared" si="6"/>
        <v>40043071.090000004</v>
      </c>
      <c r="AF10" s="44">
        <f t="shared" si="7"/>
        <v>42648597.490000002</v>
      </c>
      <c r="AG10" s="44">
        <f t="shared" si="8"/>
        <v>39369527</v>
      </c>
      <c r="AI10" s="72" t="s">
        <v>14</v>
      </c>
    </row>
    <row r="11" spans="1:49" s="11" customFormat="1" ht="17" x14ac:dyDescent="0.2">
      <c r="A11" s="72" t="s">
        <v>15</v>
      </c>
      <c r="B11" s="73"/>
      <c r="C11" s="9">
        <v>7373635</v>
      </c>
      <c r="D11" s="30">
        <v>3465110</v>
      </c>
      <c r="E11" s="27">
        <v>16409934</v>
      </c>
      <c r="F11" s="30">
        <v>5822442</v>
      </c>
      <c r="G11" s="27">
        <v>15288267</v>
      </c>
      <c r="H11" s="30">
        <v>7923046</v>
      </c>
      <c r="I11" s="27">
        <v>22437508</v>
      </c>
      <c r="J11" s="30">
        <v>847579</v>
      </c>
      <c r="K11" s="34">
        <v>22910370</v>
      </c>
      <c r="L11" s="35">
        <v>3852223</v>
      </c>
      <c r="M11" s="34">
        <v>17827556.77</v>
      </c>
      <c r="N11" s="118">
        <v>3891402</v>
      </c>
      <c r="O11" s="34">
        <v>18767237</v>
      </c>
      <c r="P11" s="118">
        <v>4485485.6500000004</v>
      </c>
      <c r="Q11" s="127">
        <v>20412033.32</v>
      </c>
      <c r="R11" s="118">
        <v>5278275.83</v>
      </c>
      <c r="S11" s="127">
        <v>20245038</v>
      </c>
      <c r="T11" s="118">
        <v>4885077.9000000004</v>
      </c>
      <c r="U11" s="127">
        <v>21418717</v>
      </c>
      <c r="V11" s="118"/>
      <c r="W11" s="116"/>
      <c r="X11" s="44">
        <f>C11+D11</f>
        <v>10838745</v>
      </c>
      <c r="Y11" s="44">
        <f t="shared" si="0"/>
        <v>22232376</v>
      </c>
      <c r="Z11" s="44">
        <f t="shared" si="1"/>
        <v>23211313</v>
      </c>
      <c r="AA11" s="44">
        <f t="shared" si="2"/>
        <v>23285087</v>
      </c>
      <c r="AB11" s="44">
        <f t="shared" si="3"/>
        <v>26762593</v>
      </c>
      <c r="AC11" s="44">
        <f t="shared" si="4"/>
        <v>21718958.77</v>
      </c>
      <c r="AD11" s="44">
        <f t="shared" si="5"/>
        <v>23252722.649999999</v>
      </c>
      <c r="AE11" s="44">
        <f t="shared" si="6"/>
        <v>25690309.149999999</v>
      </c>
      <c r="AF11" s="44">
        <f t="shared" si="7"/>
        <v>25130115.899999999</v>
      </c>
      <c r="AG11" s="44">
        <f t="shared" si="8"/>
        <v>21418717</v>
      </c>
      <c r="AI11" s="72" t="s">
        <v>15</v>
      </c>
    </row>
    <row r="12" spans="1:49" s="76" customFormat="1" ht="17" x14ac:dyDescent="0.2">
      <c r="A12" s="74" t="s">
        <v>13</v>
      </c>
      <c r="B12" s="75"/>
      <c r="C12" s="62">
        <f t="shared" ref="C12:L12" si="9">(C10-C11)</f>
        <v>9870488</v>
      </c>
      <c r="D12" s="60">
        <f t="shared" si="9"/>
        <v>243289</v>
      </c>
      <c r="E12" s="63">
        <f t="shared" si="9"/>
        <v>5788528</v>
      </c>
      <c r="F12" s="60">
        <f t="shared" si="9"/>
        <v>-1985033</v>
      </c>
      <c r="G12" s="63">
        <f t="shared" si="9"/>
        <v>7712156</v>
      </c>
      <c r="H12" s="60">
        <f t="shared" si="9"/>
        <v>-4149152</v>
      </c>
      <c r="I12" s="63">
        <f t="shared" si="9"/>
        <v>2714265</v>
      </c>
      <c r="J12" s="60">
        <f t="shared" si="9"/>
        <v>2866276</v>
      </c>
      <c r="K12" s="63">
        <f t="shared" si="9"/>
        <v>5433183.9800000004</v>
      </c>
      <c r="L12" s="60">
        <f t="shared" si="9"/>
        <v>1408031.42</v>
      </c>
      <c r="M12" s="63">
        <f t="shared" ref="M12:V12" si="10">(M10-M11)</f>
        <v>11028746.940000001</v>
      </c>
      <c r="N12" s="119">
        <f t="shared" si="10"/>
        <v>1927214</v>
      </c>
      <c r="O12" s="63">
        <f t="shared" si="10"/>
        <v>12905034.98</v>
      </c>
      <c r="P12" s="119">
        <f t="shared" si="10"/>
        <v>1074134.3799999999</v>
      </c>
      <c r="Q12" s="128">
        <f t="shared" si="10"/>
        <v>12123664.640000001</v>
      </c>
      <c r="R12" s="119">
        <f t="shared" si="10"/>
        <v>2229097.2999999998</v>
      </c>
      <c r="S12" s="128">
        <f t="shared" si="10"/>
        <v>15330246</v>
      </c>
      <c r="T12" s="119">
        <f t="shared" si="10"/>
        <v>2188235.59</v>
      </c>
      <c r="U12" s="128">
        <f t="shared" si="10"/>
        <v>17950810</v>
      </c>
      <c r="V12" s="119">
        <f t="shared" si="10"/>
        <v>0</v>
      </c>
      <c r="W12" s="64"/>
      <c r="X12" s="45">
        <f t="shared" ref="X12:X19" si="11">C12+D12</f>
        <v>10113777</v>
      </c>
      <c r="Y12" s="45">
        <f t="shared" si="0"/>
        <v>3803495</v>
      </c>
      <c r="Z12" s="45">
        <f t="shared" si="1"/>
        <v>3563004</v>
      </c>
      <c r="AA12" s="45">
        <f t="shared" si="2"/>
        <v>5580541</v>
      </c>
      <c r="AB12" s="46">
        <f t="shared" si="3"/>
        <v>6841215.4000000004</v>
      </c>
      <c r="AC12" s="46">
        <f t="shared" si="4"/>
        <v>12955960.940000001</v>
      </c>
      <c r="AD12" s="46">
        <f t="shared" si="5"/>
        <v>13979169.359999999</v>
      </c>
      <c r="AE12" s="46">
        <f t="shared" si="6"/>
        <v>14352761.940000001</v>
      </c>
      <c r="AF12" s="46">
        <f t="shared" si="7"/>
        <v>17518481.59</v>
      </c>
      <c r="AG12" s="46">
        <f t="shared" si="8"/>
        <v>17950810</v>
      </c>
      <c r="AI12" s="77" t="s">
        <v>13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</row>
    <row r="13" spans="1:49" s="11" customFormat="1" x14ac:dyDescent="0.2">
      <c r="A13" s="79" t="s">
        <v>73</v>
      </c>
      <c r="B13" s="73"/>
      <c r="C13" s="9">
        <v>461629</v>
      </c>
      <c r="D13" s="30">
        <v>475833</v>
      </c>
      <c r="E13" s="27">
        <v>221614</v>
      </c>
      <c r="F13" s="30">
        <v>506639</v>
      </c>
      <c r="G13" s="27">
        <v>580510</v>
      </c>
      <c r="H13" s="30">
        <v>574753</v>
      </c>
      <c r="I13" s="27">
        <v>980007</v>
      </c>
      <c r="J13" s="30">
        <v>729967</v>
      </c>
      <c r="K13" s="28">
        <v>517011</v>
      </c>
      <c r="L13" s="35">
        <f>3389045.53-37956.01+768418-369642.32-900000-135774</f>
        <v>2714091.2</v>
      </c>
      <c r="M13" s="28">
        <f>5107095.14-72643-747+278602</f>
        <v>5312307.1399999997</v>
      </c>
      <c r="N13" s="118">
        <v>3104701</v>
      </c>
      <c r="O13" s="28">
        <f>5717951.4-314282</f>
        <v>5403669.4000000004</v>
      </c>
      <c r="P13" s="118">
        <f>4353869.82-67448-11205-900297+906056.06-151862.68-459360.47-2492</f>
        <v>3667260.7300000004</v>
      </c>
      <c r="Q13" s="122">
        <v>6961707.5599999996</v>
      </c>
      <c r="R13" s="118">
        <v>4397047.58</v>
      </c>
      <c r="S13" s="122">
        <f>7026.6+2552.5+334367.94+395+6161145.38-900000</f>
        <v>5605487.4199999999</v>
      </c>
      <c r="T13" s="118">
        <v>5625517</v>
      </c>
      <c r="U13" s="122">
        <f>7013108+1002225-653554-101799-1801-172595-287904-177634-21133-207649</f>
        <v>6391264</v>
      </c>
      <c r="V13" s="118"/>
      <c r="W13" s="7"/>
      <c r="X13" s="44">
        <f t="shared" si="11"/>
        <v>937462</v>
      </c>
      <c r="Y13" s="44">
        <f t="shared" si="0"/>
        <v>728253</v>
      </c>
      <c r="Z13" s="44">
        <f t="shared" si="1"/>
        <v>1155263</v>
      </c>
      <c r="AA13" s="44">
        <f t="shared" si="2"/>
        <v>1709974</v>
      </c>
      <c r="AB13" s="44">
        <f t="shared" si="3"/>
        <v>3231102.2</v>
      </c>
      <c r="AC13" s="44">
        <f t="shared" si="4"/>
        <v>8417008.1400000006</v>
      </c>
      <c r="AD13" s="44">
        <f t="shared" si="5"/>
        <v>9070930.1300000008</v>
      </c>
      <c r="AE13" s="44">
        <f t="shared" si="6"/>
        <v>11358755.140000001</v>
      </c>
      <c r="AF13" s="44">
        <f t="shared" si="7"/>
        <v>11231004.42</v>
      </c>
      <c r="AG13" s="44">
        <f t="shared" si="8"/>
        <v>6391264</v>
      </c>
      <c r="AI13" s="162" t="s">
        <v>16</v>
      </c>
    </row>
    <row r="14" spans="1:49" s="76" customFormat="1" ht="17" x14ac:dyDescent="0.2">
      <c r="A14" s="74" t="s">
        <v>45</v>
      </c>
      <c r="B14" s="75"/>
      <c r="C14" s="65">
        <f t="shared" ref="C14:L14" si="12">C12-C13</f>
        <v>9408859</v>
      </c>
      <c r="D14" s="66">
        <f t="shared" si="12"/>
        <v>-232544</v>
      </c>
      <c r="E14" s="67">
        <f t="shared" si="12"/>
        <v>5566914</v>
      </c>
      <c r="F14" s="66">
        <f t="shared" si="12"/>
        <v>-2491672</v>
      </c>
      <c r="G14" s="67">
        <f t="shared" si="12"/>
        <v>7131646</v>
      </c>
      <c r="H14" s="66">
        <f t="shared" si="12"/>
        <v>-4723905</v>
      </c>
      <c r="I14" s="67">
        <f t="shared" si="12"/>
        <v>1734258</v>
      </c>
      <c r="J14" s="66">
        <f t="shared" si="12"/>
        <v>2136309</v>
      </c>
      <c r="K14" s="67">
        <f t="shared" si="12"/>
        <v>4916172.9800000004</v>
      </c>
      <c r="L14" s="66">
        <f t="shared" si="12"/>
        <v>-1306059.7800000003</v>
      </c>
      <c r="M14" s="67">
        <f t="shared" ref="M14:V14" si="13">M12-M13</f>
        <v>5716439.8000000017</v>
      </c>
      <c r="N14" s="120">
        <f t="shared" si="13"/>
        <v>-1177487</v>
      </c>
      <c r="O14" s="67">
        <f t="shared" si="13"/>
        <v>7501365.5800000001</v>
      </c>
      <c r="P14" s="120">
        <f t="shared" si="13"/>
        <v>-2593126.3500000006</v>
      </c>
      <c r="Q14" s="129">
        <f t="shared" si="13"/>
        <v>5161957.080000001</v>
      </c>
      <c r="R14" s="120">
        <f t="shared" si="13"/>
        <v>-2167950.2800000003</v>
      </c>
      <c r="S14" s="129">
        <f t="shared" si="13"/>
        <v>9724758.5800000001</v>
      </c>
      <c r="T14" s="120">
        <f t="shared" si="13"/>
        <v>-3437281.41</v>
      </c>
      <c r="U14" s="129">
        <f t="shared" si="13"/>
        <v>11559546</v>
      </c>
      <c r="V14" s="120">
        <f t="shared" si="13"/>
        <v>0</v>
      </c>
      <c r="W14" s="64"/>
      <c r="X14" s="45">
        <f t="shared" si="11"/>
        <v>9176315</v>
      </c>
      <c r="Y14" s="45">
        <f t="shared" si="0"/>
        <v>3075242</v>
      </c>
      <c r="Z14" s="45">
        <f t="shared" si="1"/>
        <v>2407741</v>
      </c>
      <c r="AA14" s="45">
        <f t="shared" si="2"/>
        <v>3870567</v>
      </c>
      <c r="AB14" s="46">
        <f t="shared" si="3"/>
        <v>3610113.2</v>
      </c>
      <c r="AC14" s="46">
        <f t="shared" si="4"/>
        <v>4538952.8000000017</v>
      </c>
      <c r="AD14" s="46">
        <f t="shared" si="5"/>
        <v>4908239.2299999995</v>
      </c>
      <c r="AE14" s="46">
        <f t="shared" si="6"/>
        <v>2994006.8000000007</v>
      </c>
      <c r="AF14" s="46">
        <f t="shared" si="7"/>
        <v>6287477.1699999999</v>
      </c>
      <c r="AG14" s="46">
        <f t="shared" si="8"/>
        <v>11559546</v>
      </c>
      <c r="AI14" s="77" t="s">
        <v>45</v>
      </c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</row>
    <row r="15" spans="1:49" s="11" customFormat="1" ht="17" x14ac:dyDescent="0.2">
      <c r="A15" s="72" t="s">
        <v>19</v>
      </c>
      <c r="B15" s="73"/>
      <c r="C15" s="12">
        <v>0</v>
      </c>
      <c r="D15" s="31">
        <v>0</v>
      </c>
      <c r="E15" s="28">
        <v>0</v>
      </c>
      <c r="F15" s="31">
        <v>0</v>
      </c>
      <c r="G15" s="28">
        <v>0</v>
      </c>
      <c r="H15" s="31">
        <v>0</v>
      </c>
      <c r="I15" s="28">
        <v>0</v>
      </c>
      <c r="J15" s="31">
        <v>0</v>
      </c>
      <c r="K15" s="28">
        <v>29192</v>
      </c>
      <c r="L15" s="35">
        <v>-26326.36</v>
      </c>
      <c r="M15" s="28">
        <v>-1945.53</v>
      </c>
      <c r="N15" s="118">
        <v>11478</v>
      </c>
      <c r="O15" s="28">
        <v>-684597.2</v>
      </c>
      <c r="P15" s="118">
        <v>-1627575.49</v>
      </c>
      <c r="Q15" s="122">
        <v>-89232.7</v>
      </c>
      <c r="R15" s="118">
        <v>-52002.65</v>
      </c>
      <c r="S15" s="122">
        <v>46803</v>
      </c>
      <c r="T15" s="118">
        <v>-32502</v>
      </c>
      <c r="U15" s="159">
        <v>40570</v>
      </c>
      <c r="V15" s="160"/>
      <c r="W15" s="116"/>
      <c r="X15" s="44">
        <f>C15+D15</f>
        <v>0</v>
      </c>
      <c r="Y15" s="44">
        <f>E15+F15</f>
        <v>0</v>
      </c>
      <c r="Z15" s="44">
        <f>G15+H15</f>
        <v>0</v>
      </c>
      <c r="AA15" s="44">
        <f>I15+J15</f>
        <v>0</v>
      </c>
      <c r="AB15" s="44">
        <f t="shared" si="3"/>
        <v>2865.6399999999994</v>
      </c>
      <c r="AC15" s="44">
        <f t="shared" si="4"/>
        <v>9532.4699999999993</v>
      </c>
      <c r="AD15" s="44">
        <f t="shared" si="5"/>
        <v>-2312172.69</v>
      </c>
      <c r="AE15" s="44">
        <f t="shared" si="6"/>
        <v>-141235.35</v>
      </c>
      <c r="AF15" s="44">
        <f t="shared" si="7"/>
        <v>14301</v>
      </c>
      <c r="AG15" s="44">
        <f t="shared" si="8"/>
        <v>40570</v>
      </c>
      <c r="AI15" s="80" t="s">
        <v>19</v>
      </c>
    </row>
    <row r="16" spans="1:49" s="76" customFormat="1" ht="17" x14ac:dyDescent="0.2">
      <c r="A16" s="165" t="s">
        <v>22</v>
      </c>
      <c r="B16" s="166"/>
      <c r="C16" s="65">
        <f t="shared" ref="C16:L16" si="14">C14-C15</f>
        <v>9408859</v>
      </c>
      <c r="D16" s="66">
        <f t="shared" si="14"/>
        <v>-232544</v>
      </c>
      <c r="E16" s="67">
        <f t="shared" si="14"/>
        <v>5566914</v>
      </c>
      <c r="F16" s="66">
        <f t="shared" si="14"/>
        <v>-2491672</v>
      </c>
      <c r="G16" s="67">
        <f t="shared" si="14"/>
        <v>7131646</v>
      </c>
      <c r="H16" s="66">
        <f t="shared" si="14"/>
        <v>-4723905</v>
      </c>
      <c r="I16" s="67">
        <f t="shared" si="14"/>
        <v>1734258</v>
      </c>
      <c r="J16" s="66">
        <f t="shared" si="14"/>
        <v>2136309</v>
      </c>
      <c r="K16" s="67">
        <f t="shared" si="14"/>
        <v>4886980.9800000004</v>
      </c>
      <c r="L16" s="66">
        <f t="shared" si="14"/>
        <v>-1279733.4200000002</v>
      </c>
      <c r="M16" s="67">
        <f t="shared" ref="M16:V16" si="15">M14-M15</f>
        <v>5718385.3300000019</v>
      </c>
      <c r="N16" s="120">
        <f t="shared" si="15"/>
        <v>-1188965</v>
      </c>
      <c r="O16" s="67">
        <f t="shared" si="15"/>
        <v>8185962.7800000003</v>
      </c>
      <c r="P16" s="120">
        <f t="shared" si="15"/>
        <v>-965550.86000000057</v>
      </c>
      <c r="Q16" s="129">
        <f t="shared" si="15"/>
        <v>5251189.7800000012</v>
      </c>
      <c r="R16" s="120">
        <f t="shared" si="15"/>
        <v>-2115947.6300000004</v>
      </c>
      <c r="S16" s="129">
        <f t="shared" si="15"/>
        <v>9677955.5800000001</v>
      </c>
      <c r="T16" s="120">
        <f t="shared" si="15"/>
        <v>-3404779.41</v>
      </c>
      <c r="U16" s="129">
        <f t="shared" si="15"/>
        <v>11518976</v>
      </c>
      <c r="V16" s="120">
        <f t="shared" si="15"/>
        <v>0</v>
      </c>
      <c r="W16" s="64"/>
      <c r="X16" s="46">
        <f>C16+D16</f>
        <v>9176315</v>
      </c>
      <c r="Y16" s="46">
        <f>E16+F16</f>
        <v>3075242</v>
      </c>
      <c r="Z16" s="46">
        <f>G16+H16</f>
        <v>2407741</v>
      </c>
      <c r="AA16" s="46">
        <f>I16+J16</f>
        <v>3870567</v>
      </c>
      <c r="AB16" s="46">
        <f t="shared" si="3"/>
        <v>3607247.5600000005</v>
      </c>
      <c r="AC16" s="46">
        <f t="shared" si="4"/>
        <v>4529420.3300000019</v>
      </c>
      <c r="AD16" s="46">
        <f t="shared" si="5"/>
        <v>7220411.9199999999</v>
      </c>
      <c r="AE16" s="46">
        <f t="shared" si="6"/>
        <v>3135242.1500000008</v>
      </c>
      <c r="AF16" s="46">
        <f t="shared" si="7"/>
        <v>6273176.1699999999</v>
      </c>
      <c r="AG16" s="46">
        <f t="shared" si="8"/>
        <v>11518976</v>
      </c>
      <c r="AI16" s="77" t="s">
        <v>22</v>
      </c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</row>
    <row r="17" spans="1:49" s="11" customFormat="1" ht="17" x14ac:dyDescent="0.2">
      <c r="A17" s="72" t="s">
        <v>17</v>
      </c>
      <c r="B17" s="73"/>
      <c r="C17" s="9">
        <v>304028</v>
      </c>
      <c r="D17" s="30">
        <v>121270</v>
      </c>
      <c r="E17" s="27">
        <v>149022</v>
      </c>
      <c r="F17" s="30">
        <v>151696</v>
      </c>
      <c r="G17" s="27">
        <v>181837</v>
      </c>
      <c r="H17" s="30">
        <v>211557</v>
      </c>
      <c r="I17" s="27">
        <v>244040</v>
      </c>
      <c r="J17" s="30">
        <v>214964</v>
      </c>
      <c r="K17" s="28">
        <v>528398</v>
      </c>
      <c r="L17" s="35">
        <f>369642.32+37956.01</f>
        <v>407598.33</v>
      </c>
      <c r="M17" s="28">
        <v>72643.37</v>
      </c>
      <c r="N17" s="118">
        <f>30562+425047</f>
        <v>455609</v>
      </c>
      <c r="O17" s="28">
        <f>35443.88+39.4</f>
        <v>35483.279999999999</v>
      </c>
      <c r="P17" s="118">
        <f>67448.02+459360.47</f>
        <v>526808.49</v>
      </c>
      <c r="Q17" s="122">
        <v>454893</v>
      </c>
      <c r="R17" s="118">
        <v>589760</v>
      </c>
      <c r="S17" s="122">
        <f>545569.16-168994.44+58378.75</f>
        <v>434953.47000000003</v>
      </c>
      <c r="T17" s="118">
        <v>947023</v>
      </c>
      <c r="U17" s="122">
        <f>653553.65+101798.99-216467.31</f>
        <v>538885.33000000007</v>
      </c>
      <c r="V17" s="118"/>
      <c r="W17" s="7"/>
      <c r="X17" s="44">
        <f t="shared" si="11"/>
        <v>425298</v>
      </c>
      <c r="Y17" s="44">
        <f t="shared" si="0"/>
        <v>300718</v>
      </c>
      <c r="Z17" s="44">
        <f t="shared" si="1"/>
        <v>393394</v>
      </c>
      <c r="AA17" s="44">
        <f t="shared" si="2"/>
        <v>459004</v>
      </c>
      <c r="AB17" s="44">
        <f t="shared" si="3"/>
        <v>935996.33000000007</v>
      </c>
      <c r="AC17" s="44">
        <f t="shared" si="4"/>
        <v>528252.37</v>
      </c>
      <c r="AD17" s="44">
        <f t="shared" si="5"/>
        <v>562291.77</v>
      </c>
      <c r="AE17" s="44">
        <f t="shared" si="6"/>
        <v>1044653</v>
      </c>
      <c r="AF17" s="44">
        <f t="shared" si="7"/>
        <v>1381976.47</v>
      </c>
      <c r="AG17" s="44">
        <f t="shared" si="8"/>
        <v>538885.33000000007</v>
      </c>
      <c r="AI17" s="80" t="s">
        <v>17</v>
      </c>
    </row>
    <row r="18" spans="1:49" s="11" customFormat="1" ht="17" x14ac:dyDescent="0.2">
      <c r="A18" s="72" t="s">
        <v>18</v>
      </c>
      <c r="B18" s="73"/>
      <c r="C18" s="9">
        <v>9441</v>
      </c>
      <c r="D18" s="30">
        <v>77560</v>
      </c>
      <c r="E18" s="27">
        <v>217</v>
      </c>
      <c r="F18" s="30">
        <v>74921</v>
      </c>
      <c r="G18" s="27">
        <v>21248</v>
      </c>
      <c r="H18" s="30">
        <v>59948</v>
      </c>
      <c r="I18" s="27">
        <v>914</v>
      </c>
      <c r="J18" s="30">
        <v>100858</v>
      </c>
      <c r="K18" s="28">
        <v>7196</v>
      </c>
      <c r="L18" s="35">
        <v>135773.89000000001</v>
      </c>
      <c r="M18" s="28">
        <v>747</v>
      </c>
      <c r="N18" s="118">
        <f>15968+136700</f>
        <v>152668</v>
      </c>
      <c r="O18" s="28">
        <v>21050.45</v>
      </c>
      <c r="P18" s="118">
        <f>11205.48+2491.92+151862.68</f>
        <v>165560.07999999999</v>
      </c>
      <c r="Q18" s="122">
        <v>13851.98</v>
      </c>
      <c r="R18" s="118">
        <v>196451</v>
      </c>
      <c r="S18" s="122">
        <v>22605</v>
      </c>
      <c r="T18" s="118">
        <v>211763</v>
      </c>
      <c r="U18" s="122">
        <v>1801</v>
      </c>
      <c r="V18" s="118"/>
      <c r="W18" s="7"/>
      <c r="X18" s="44">
        <f t="shared" si="11"/>
        <v>87001</v>
      </c>
      <c r="Y18" s="44">
        <f t="shared" si="0"/>
        <v>75138</v>
      </c>
      <c r="Z18" s="44">
        <f t="shared" si="1"/>
        <v>81196</v>
      </c>
      <c r="AA18" s="44">
        <f t="shared" si="2"/>
        <v>101772</v>
      </c>
      <c r="AB18" s="44">
        <f t="shared" si="3"/>
        <v>142969.89000000001</v>
      </c>
      <c r="AC18" s="44">
        <f t="shared" si="4"/>
        <v>153415</v>
      </c>
      <c r="AD18" s="44">
        <f t="shared" si="5"/>
        <v>186610.53</v>
      </c>
      <c r="AE18" s="44">
        <f t="shared" si="6"/>
        <v>210302.98</v>
      </c>
      <c r="AF18" s="44">
        <f t="shared" si="7"/>
        <v>234368</v>
      </c>
      <c r="AG18" s="44">
        <f t="shared" si="8"/>
        <v>1801</v>
      </c>
      <c r="AI18" s="80" t="s">
        <v>18</v>
      </c>
    </row>
    <row r="19" spans="1:49" s="76" customFormat="1" ht="17" x14ac:dyDescent="0.2">
      <c r="A19" s="74" t="s">
        <v>23</v>
      </c>
      <c r="B19" s="75"/>
      <c r="C19" s="65">
        <f t="shared" ref="C19:L19" si="16">C14-C17-C18-C15</f>
        <v>9095390</v>
      </c>
      <c r="D19" s="66">
        <f t="shared" si="16"/>
        <v>-431374</v>
      </c>
      <c r="E19" s="67">
        <f t="shared" si="16"/>
        <v>5417675</v>
      </c>
      <c r="F19" s="66">
        <f t="shared" si="16"/>
        <v>-2718289</v>
      </c>
      <c r="G19" s="67">
        <f t="shared" si="16"/>
        <v>6928561</v>
      </c>
      <c r="H19" s="66">
        <f t="shared" si="16"/>
        <v>-4995410</v>
      </c>
      <c r="I19" s="67">
        <f t="shared" si="16"/>
        <v>1489304</v>
      </c>
      <c r="J19" s="66">
        <f t="shared" si="16"/>
        <v>1820487</v>
      </c>
      <c r="K19" s="67">
        <f t="shared" si="16"/>
        <v>4351386.9800000004</v>
      </c>
      <c r="L19" s="66">
        <f t="shared" si="16"/>
        <v>-1823105.6400000004</v>
      </c>
      <c r="M19" s="67">
        <f t="shared" ref="M19:V19" si="17">M14-M17-M18-M15</f>
        <v>5644994.9600000018</v>
      </c>
      <c r="N19" s="120">
        <f t="shared" si="17"/>
        <v>-1797242</v>
      </c>
      <c r="O19" s="67">
        <f t="shared" si="17"/>
        <v>8129429.0499999998</v>
      </c>
      <c r="P19" s="120">
        <f t="shared" si="17"/>
        <v>-1657919.4300000009</v>
      </c>
      <c r="Q19" s="129">
        <f t="shared" si="17"/>
        <v>4782444.8000000007</v>
      </c>
      <c r="R19" s="120">
        <f t="shared" si="17"/>
        <v>-2902158.6300000004</v>
      </c>
      <c r="S19" s="129">
        <f t="shared" si="17"/>
        <v>9220397.1099999994</v>
      </c>
      <c r="T19" s="120">
        <f t="shared" si="17"/>
        <v>-4563565.41</v>
      </c>
      <c r="U19" s="129">
        <f t="shared" si="17"/>
        <v>10978289.67</v>
      </c>
      <c r="V19" s="120">
        <f t="shared" si="17"/>
        <v>0</v>
      </c>
      <c r="W19" s="64"/>
      <c r="X19" s="46">
        <f t="shared" si="11"/>
        <v>8664016</v>
      </c>
      <c r="Y19" s="46">
        <f t="shared" si="0"/>
        <v>2699386</v>
      </c>
      <c r="Z19" s="46">
        <f t="shared" si="1"/>
        <v>1933151</v>
      </c>
      <c r="AA19" s="46">
        <f t="shared" si="2"/>
        <v>3309791</v>
      </c>
      <c r="AB19" s="46">
        <f t="shared" si="3"/>
        <v>2528281.34</v>
      </c>
      <c r="AC19" s="46">
        <f t="shared" si="4"/>
        <v>3847752.9600000018</v>
      </c>
      <c r="AD19" s="46">
        <f t="shared" si="5"/>
        <v>6471509.6199999992</v>
      </c>
      <c r="AE19" s="46">
        <f t="shared" si="6"/>
        <v>1880286.1700000004</v>
      </c>
      <c r="AF19" s="46">
        <f t="shared" si="7"/>
        <v>4656831.6999999993</v>
      </c>
      <c r="AG19" s="46">
        <f t="shared" si="8"/>
        <v>10978289.67</v>
      </c>
      <c r="AI19" s="77" t="s">
        <v>23</v>
      </c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</row>
    <row r="20" spans="1:49" s="11" customFormat="1" x14ac:dyDescent="0.2">
      <c r="A20" s="81"/>
      <c r="B20" s="82"/>
      <c r="C20" s="5"/>
      <c r="D20" s="32"/>
      <c r="E20" s="5"/>
      <c r="F20" s="32"/>
      <c r="G20" s="5"/>
      <c r="H20" s="32"/>
      <c r="I20" s="5"/>
      <c r="J20" s="32"/>
      <c r="K20" s="5"/>
      <c r="L20" s="36"/>
      <c r="M20" s="5"/>
      <c r="N20" s="117"/>
      <c r="O20" s="5"/>
      <c r="P20" s="117"/>
      <c r="Q20" s="126"/>
      <c r="R20" s="117"/>
      <c r="S20" s="126"/>
      <c r="T20" s="117"/>
      <c r="U20" s="126"/>
      <c r="V20" s="117"/>
      <c r="W20" s="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10"/>
      <c r="AI20" s="10"/>
    </row>
    <row r="21" spans="1:49" s="78" customFormat="1" ht="34" x14ac:dyDescent="0.25">
      <c r="A21" s="136" t="s">
        <v>5</v>
      </c>
      <c r="B21" s="137"/>
      <c r="C21" s="138"/>
      <c r="D21" s="139" t="s">
        <v>78</v>
      </c>
      <c r="E21" s="140"/>
      <c r="F21" s="139" t="s">
        <v>78</v>
      </c>
      <c r="G21" s="138"/>
      <c r="H21" s="139" t="s">
        <v>78</v>
      </c>
      <c r="I21" s="138"/>
      <c r="J21" s="139" t="s">
        <v>78</v>
      </c>
      <c r="K21" s="138"/>
      <c r="L21" s="139" t="s">
        <v>78</v>
      </c>
      <c r="M21" s="138"/>
      <c r="N21" s="141" t="s">
        <v>78</v>
      </c>
      <c r="O21" s="138"/>
      <c r="P21" s="141" t="s">
        <v>78</v>
      </c>
      <c r="Q21" s="142"/>
      <c r="R21" s="141" t="s">
        <v>78</v>
      </c>
      <c r="S21" s="142"/>
      <c r="T21" s="141" t="s">
        <v>78</v>
      </c>
      <c r="U21" s="130"/>
      <c r="V21" s="161" t="s">
        <v>78</v>
      </c>
      <c r="W21" s="42"/>
      <c r="X21" s="84" t="s">
        <v>58</v>
      </c>
      <c r="Y21" s="84" t="s">
        <v>59</v>
      </c>
      <c r="Z21" s="84" t="s">
        <v>60</v>
      </c>
      <c r="AA21" s="84" t="s">
        <v>61</v>
      </c>
      <c r="AB21" s="84" t="s">
        <v>66</v>
      </c>
      <c r="AC21" s="84" t="s">
        <v>71</v>
      </c>
      <c r="AD21" s="84" t="s">
        <v>72</v>
      </c>
      <c r="AE21" s="84" t="s">
        <v>99</v>
      </c>
      <c r="AF21" s="84" t="s">
        <v>106</v>
      </c>
      <c r="AG21" s="84" t="s">
        <v>124</v>
      </c>
      <c r="AI21" s="85" t="s">
        <v>5</v>
      </c>
    </row>
    <row r="22" spans="1:49" s="11" customFormat="1" ht="17" x14ac:dyDescent="0.2">
      <c r="A22" s="86" t="s">
        <v>27</v>
      </c>
      <c r="B22" s="73"/>
      <c r="C22" s="41"/>
      <c r="D22" s="33">
        <f>236314.65+31258.39</f>
        <v>267573.03999999998</v>
      </c>
      <c r="E22" s="41"/>
      <c r="F22" s="33">
        <f>12414.92+-375541.64</f>
        <v>-363126.72000000003</v>
      </c>
      <c r="G22" s="41"/>
      <c r="H22" s="33">
        <f>-174359.94+2791.83</f>
        <v>-171568.11000000002</v>
      </c>
      <c r="I22" s="41"/>
      <c r="J22" s="33">
        <f>57304.18+680983.77</f>
        <v>738287.95000000007</v>
      </c>
      <c r="K22" s="41"/>
      <c r="L22" s="33">
        <f>-240885.13+45801.64</f>
        <v>-195083.49</v>
      </c>
      <c r="M22" s="41"/>
      <c r="N22" s="118">
        <f>4888764+172897</f>
        <v>5061661</v>
      </c>
      <c r="O22" s="41"/>
      <c r="P22" s="118">
        <f>229342.24+6934033.79</f>
        <v>7163376.0300000003</v>
      </c>
      <c r="Q22" s="130"/>
      <c r="R22" s="118">
        <v>6403937.1600000001</v>
      </c>
      <c r="S22" s="130"/>
      <c r="T22" s="118">
        <f>2707883+1723879</f>
        <v>4431762</v>
      </c>
      <c r="U22" s="130"/>
      <c r="V22" s="118"/>
      <c r="W22" s="116"/>
      <c r="X22" s="48">
        <f t="shared" ref="X22:X33" si="18">D22</f>
        <v>267573.03999999998</v>
      </c>
      <c r="Y22" s="48">
        <f t="shared" ref="Y22:Y33" si="19">F22</f>
        <v>-363126.72000000003</v>
      </c>
      <c r="Z22" s="48">
        <f t="shared" ref="Z22:Z33" si="20">H22</f>
        <v>-171568.11000000002</v>
      </c>
      <c r="AA22" s="44">
        <f t="shared" ref="AA22:AA33" si="21">J22</f>
        <v>738287.95000000007</v>
      </c>
      <c r="AB22" s="44">
        <f t="shared" ref="AB22:AB35" si="22">L22</f>
        <v>-195083.49</v>
      </c>
      <c r="AC22" s="44">
        <f t="shared" ref="AC22:AC35" si="23">N22</f>
        <v>5061661</v>
      </c>
      <c r="AD22" s="44">
        <f t="shared" ref="AD22:AD35" si="24">P22</f>
        <v>7163376.0300000003</v>
      </c>
      <c r="AE22" s="44">
        <f t="shared" ref="AE22:AE35" si="25">R22</f>
        <v>6403937.1600000001</v>
      </c>
      <c r="AF22" s="44">
        <f t="shared" ref="AF22:AF35" si="26">T22</f>
        <v>4431762</v>
      </c>
      <c r="AG22" s="44">
        <f t="shared" ref="AG22:AG35" si="27">V22</f>
        <v>0</v>
      </c>
      <c r="AI22" s="87" t="s">
        <v>27</v>
      </c>
    </row>
    <row r="23" spans="1:49" s="11" customFormat="1" ht="17" x14ac:dyDescent="0.2">
      <c r="A23" s="86" t="s">
        <v>29</v>
      </c>
      <c r="B23" s="73"/>
      <c r="C23" s="41"/>
      <c r="D23" s="33">
        <v>186625.97</v>
      </c>
      <c r="E23" s="41"/>
      <c r="F23" s="33">
        <v>153418.04999999999</v>
      </c>
      <c r="G23" s="41"/>
      <c r="H23" s="33">
        <v>184818.93</v>
      </c>
      <c r="I23" s="41"/>
      <c r="J23" s="33">
        <v>459385.91</v>
      </c>
      <c r="K23" s="41"/>
      <c r="L23" s="33">
        <v>396826.72</v>
      </c>
      <c r="M23" s="41"/>
      <c r="N23" s="118">
        <v>1705748</v>
      </c>
      <c r="O23" s="41"/>
      <c r="P23" s="118">
        <v>1274181.3400000001</v>
      </c>
      <c r="Q23" s="130"/>
      <c r="R23" s="118">
        <v>1698982.14</v>
      </c>
      <c r="S23" s="130"/>
      <c r="T23" s="118">
        <v>6987830.0999999996</v>
      </c>
      <c r="U23" s="130"/>
      <c r="V23" s="118"/>
      <c r="W23" s="116"/>
      <c r="X23" s="48">
        <f t="shared" si="18"/>
        <v>186625.97</v>
      </c>
      <c r="Y23" s="48">
        <f t="shared" si="19"/>
        <v>153418.04999999999</v>
      </c>
      <c r="Z23" s="48">
        <f t="shared" si="20"/>
        <v>184818.93</v>
      </c>
      <c r="AA23" s="44">
        <f t="shared" si="21"/>
        <v>459385.91</v>
      </c>
      <c r="AB23" s="44">
        <f t="shared" si="22"/>
        <v>396826.72</v>
      </c>
      <c r="AC23" s="44">
        <f t="shared" si="23"/>
        <v>1705748</v>
      </c>
      <c r="AD23" s="44">
        <f t="shared" si="24"/>
        <v>1274181.3400000001</v>
      </c>
      <c r="AE23" s="44">
        <f t="shared" si="25"/>
        <v>1698982.14</v>
      </c>
      <c r="AF23" s="44">
        <f t="shared" si="26"/>
        <v>6987830.0999999996</v>
      </c>
      <c r="AG23" s="44">
        <f t="shared" si="27"/>
        <v>0</v>
      </c>
      <c r="AI23" s="87" t="s">
        <v>29</v>
      </c>
    </row>
    <row r="24" spans="1:49" s="11" customFormat="1" ht="17" x14ac:dyDescent="0.2">
      <c r="A24" s="86" t="s">
        <v>30</v>
      </c>
      <c r="B24" s="73"/>
      <c r="C24" s="41"/>
      <c r="D24" s="33">
        <v>5115776.88</v>
      </c>
      <c r="E24" s="41"/>
      <c r="F24" s="33">
        <v>5572394.2999999998</v>
      </c>
      <c r="G24" s="41"/>
      <c r="H24" s="33">
        <v>5274379.84</v>
      </c>
      <c r="I24" s="41"/>
      <c r="J24" s="33">
        <v>6643807.9699999997</v>
      </c>
      <c r="K24" s="41"/>
      <c r="L24" s="33">
        <v>8001192.8099999996</v>
      </c>
      <c r="M24" s="41"/>
      <c r="N24" s="118">
        <v>7881731.8700000001</v>
      </c>
      <c r="O24" s="41"/>
      <c r="P24" s="118">
        <v>8265566.0899999999</v>
      </c>
      <c r="Q24" s="130"/>
      <c r="R24" s="118">
        <v>11454406.720000001</v>
      </c>
      <c r="S24" s="130"/>
      <c r="T24" s="118">
        <v>9430006</v>
      </c>
      <c r="U24" s="130"/>
      <c r="V24" s="118"/>
      <c r="W24" s="116"/>
      <c r="X24" s="48">
        <f t="shared" si="18"/>
        <v>5115776.88</v>
      </c>
      <c r="Y24" s="48">
        <f t="shared" si="19"/>
        <v>5572394.2999999998</v>
      </c>
      <c r="Z24" s="48">
        <f t="shared" si="20"/>
        <v>5274379.84</v>
      </c>
      <c r="AA24" s="44">
        <f t="shared" si="21"/>
        <v>6643807.9699999997</v>
      </c>
      <c r="AB24" s="44">
        <f t="shared" si="22"/>
        <v>8001192.8099999996</v>
      </c>
      <c r="AC24" s="44">
        <f t="shared" si="23"/>
        <v>7881731.8700000001</v>
      </c>
      <c r="AD24" s="44">
        <f t="shared" si="24"/>
        <v>8265566.0899999999</v>
      </c>
      <c r="AE24" s="44">
        <f t="shared" si="25"/>
        <v>11454406.720000001</v>
      </c>
      <c r="AF24" s="44">
        <f t="shared" si="26"/>
        <v>9430006</v>
      </c>
      <c r="AG24" s="44">
        <f t="shared" si="27"/>
        <v>0</v>
      </c>
      <c r="AI24" s="87" t="s">
        <v>30</v>
      </c>
    </row>
    <row r="25" spans="1:49" s="11" customFormat="1" ht="17" x14ac:dyDescent="0.2">
      <c r="A25" s="86" t="s">
        <v>31</v>
      </c>
      <c r="B25" s="73"/>
      <c r="C25" s="41"/>
      <c r="D25" s="33">
        <f>2534098.64-2589896.45+286419.41+75+60825.17</f>
        <v>291521.7699999999</v>
      </c>
      <c r="E25" s="41"/>
      <c r="F25" s="33">
        <f>75+56480.57+2494885.87-2435251.59+10573.01</f>
        <v>126762.86000000009</v>
      </c>
      <c r="G25" s="41"/>
      <c r="H25" s="33">
        <f>10573+0.01+2351951.09-2032789.53+122334.53+75</f>
        <v>452144.09999999963</v>
      </c>
      <c r="I25" s="41"/>
      <c r="J25" s="11">
        <v>120503</v>
      </c>
      <c r="K25" s="41"/>
      <c r="L25" s="11">
        <v>24376</v>
      </c>
      <c r="M25" s="41"/>
      <c r="N25" s="118">
        <v>24538</v>
      </c>
      <c r="O25" s="41"/>
      <c r="P25" s="118">
        <v>155813</v>
      </c>
      <c r="Q25" s="130"/>
      <c r="R25" s="118">
        <v>50287.64</v>
      </c>
      <c r="S25" s="130"/>
      <c r="T25" s="118">
        <v>123028</v>
      </c>
      <c r="U25" s="130"/>
      <c r="V25" s="118"/>
      <c r="W25" s="116"/>
      <c r="X25" s="48">
        <f t="shared" si="18"/>
        <v>291521.7699999999</v>
      </c>
      <c r="Y25" s="48">
        <f t="shared" si="19"/>
        <v>126762.86000000009</v>
      </c>
      <c r="Z25" s="48">
        <f t="shared" si="20"/>
        <v>452144.09999999963</v>
      </c>
      <c r="AA25" s="44">
        <f>J27</f>
        <v>118289.68000000005</v>
      </c>
      <c r="AB25" s="44">
        <f>L27</f>
        <v>444087.90999999992</v>
      </c>
      <c r="AC25" s="44">
        <f t="shared" si="23"/>
        <v>24538</v>
      </c>
      <c r="AD25" s="44">
        <f t="shared" si="24"/>
        <v>155813</v>
      </c>
      <c r="AE25" s="44">
        <f t="shared" si="25"/>
        <v>50287.64</v>
      </c>
      <c r="AF25" s="44">
        <f t="shared" si="26"/>
        <v>123028</v>
      </c>
      <c r="AG25" s="44">
        <f t="shared" si="27"/>
        <v>0</v>
      </c>
      <c r="AI25" s="87" t="s">
        <v>31</v>
      </c>
    </row>
    <row r="26" spans="1:49" s="11" customFormat="1" ht="17" x14ac:dyDescent="0.2">
      <c r="A26" s="86" t="s">
        <v>28</v>
      </c>
      <c r="B26" s="73"/>
      <c r="C26" s="41"/>
      <c r="D26" s="33">
        <f>11915252.07+3354287.64</f>
        <v>15269539.710000001</v>
      </c>
      <c r="E26" s="41"/>
      <c r="F26" s="33">
        <f>3894246.24+13638501.83</f>
        <v>17532748.07</v>
      </c>
      <c r="G26" s="41"/>
      <c r="H26" s="33">
        <f>16268294.37+3850680.6</f>
        <v>20118974.969999999</v>
      </c>
      <c r="I26" s="41"/>
      <c r="J26" s="33">
        <f>18001526.78+4113362.9</f>
        <v>22114889.68</v>
      </c>
      <c r="K26" s="41"/>
      <c r="L26" s="33">
        <f>3719922.01+19823316.96</f>
        <v>23543238.969999999</v>
      </c>
      <c r="M26" s="41"/>
      <c r="N26" s="118">
        <f>3757425.32+23245018</f>
        <v>27002443.32</v>
      </c>
      <c r="O26" s="41"/>
      <c r="P26" s="118">
        <f>4168610.99+25058846.78</f>
        <v>29227457.770000003</v>
      </c>
      <c r="Q26" s="130"/>
      <c r="R26" s="118">
        <v>29278849.510000002</v>
      </c>
      <c r="S26" s="130"/>
      <c r="T26" s="118">
        <f>4447346+23910134</f>
        <v>28357480</v>
      </c>
      <c r="U26" s="130"/>
      <c r="V26" s="118"/>
      <c r="W26" s="7"/>
      <c r="X26" s="48">
        <f t="shared" si="18"/>
        <v>15269539.710000001</v>
      </c>
      <c r="Y26" s="48">
        <f t="shared" si="19"/>
        <v>17532748.07</v>
      </c>
      <c r="Z26" s="48">
        <f t="shared" si="20"/>
        <v>20118974.969999999</v>
      </c>
      <c r="AA26" s="44">
        <f t="shared" si="21"/>
        <v>22114889.68</v>
      </c>
      <c r="AB26" s="44">
        <f t="shared" si="22"/>
        <v>23543238.969999999</v>
      </c>
      <c r="AC26" s="44">
        <f t="shared" si="23"/>
        <v>27002443.32</v>
      </c>
      <c r="AD26" s="44">
        <f t="shared" si="24"/>
        <v>29227457.770000003</v>
      </c>
      <c r="AE26" s="44">
        <f t="shared" si="25"/>
        <v>29278849.510000002</v>
      </c>
      <c r="AF26" s="44">
        <f t="shared" si="26"/>
        <v>28357480</v>
      </c>
      <c r="AG26" s="44">
        <f t="shared" si="27"/>
        <v>0</v>
      </c>
      <c r="AI26" s="87" t="s">
        <v>28</v>
      </c>
    </row>
    <row r="27" spans="1:49" s="11" customFormat="1" ht="17" x14ac:dyDescent="0.2">
      <c r="A27" s="86" t="s">
        <v>82</v>
      </c>
      <c r="B27" s="73"/>
      <c r="C27" s="41"/>
      <c r="D27" s="33"/>
      <c r="E27" s="41"/>
      <c r="F27" s="33"/>
      <c r="G27" s="41"/>
      <c r="H27" s="33"/>
      <c r="I27" s="41"/>
      <c r="J27" s="33">
        <f>634972.26-780167.19+131076+75+132333.61</f>
        <v>118289.68000000005</v>
      </c>
      <c r="K27" s="41"/>
      <c r="L27" s="33">
        <f>118280.41-24925+1405202.05-1065042.55+10573</f>
        <v>444087.90999999992</v>
      </c>
      <c r="M27" s="41"/>
      <c r="N27" s="118">
        <f>104227+1835536.66+75</f>
        <v>1939838.66</v>
      </c>
      <c r="O27" s="41"/>
      <c r="P27" s="118">
        <f>4251634.04-2535975.89+90174.01+75</f>
        <v>1805907.16</v>
      </c>
      <c r="Q27" s="130"/>
      <c r="R27" s="118">
        <v>1709911.1</v>
      </c>
      <c r="S27" s="130"/>
      <c r="T27" s="118">
        <f>62068+75+367474+176992</f>
        <v>606609</v>
      </c>
      <c r="U27" s="130"/>
      <c r="V27" s="118"/>
      <c r="W27" s="7"/>
      <c r="X27" s="48">
        <f t="shared" si="18"/>
        <v>0</v>
      </c>
      <c r="Y27" s="48">
        <f t="shared" si="19"/>
        <v>0</v>
      </c>
      <c r="Z27" s="48">
        <f t="shared" si="20"/>
        <v>0</v>
      </c>
      <c r="AA27" s="44">
        <f>J27</f>
        <v>118289.68000000005</v>
      </c>
      <c r="AB27" s="44">
        <f>L27</f>
        <v>444087.90999999992</v>
      </c>
      <c r="AC27" s="44">
        <f t="shared" si="23"/>
        <v>1939838.66</v>
      </c>
      <c r="AD27" s="44">
        <f t="shared" si="24"/>
        <v>1805907.16</v>
      </c>
      <c r="AE27" s="44">
        <f t="shared" si="25"/>
        <v>1709911.1</v>
      </c>
      <c r="AF27" s="44">
        <f t="shared" si="26"/>
        <v>606609</v>
      </c>
      <c r="AG27" s="44">
        <f t="shared" si="27"/>
        <v>0</v>
      </c>
      <c r="AI27" s="87" t="s">
        <v>82</v>
      </c>
    </row>
    <row r="28" spans="1:49" s="89" customFormat="1" ht="17" x14ac:dyDescent="0.2">
      <c r="A28" s="74" t="s">
        <v>2</v>
      </c>
      <c r="B28" s="88"/>
      <c r="C28" s="59"/>
      <c r="D28" s="60">
        <f>SUM(D22:D27)</f>
        <v>21131037.370000001</v>
      </c>
      <c r="E28" s="59"/>
      <c r="F28" s="60">
        <f>SUM(F22:F27)</f>
        <v>23022196.560000002</v>
      </c>
      <c r="G28" s="59"/>
      <c r="H28" s="60">
        <f>SUM(H22:H27)</f>
        <v>25858749.729999997</v>
      </c>
      <c r="I28" s="59"/>
      <c r="J28" s="60">
        <f>SUM(J22:J27)</f>
        <v>30195164.189999998</v>
      </c>
      <c r="K28" s="59"/>
      <c r="L28" s="60">
        <f>SUM(L22:L27)</f>
        <v>32214638.919999998</v>
      </c>
      <c r="M28" s="59"/>
      <c r="N28" s="60">
        <f>SUM(N22:N27)</f>
        <v>43615960.849999994</v>
      </c>
      <c r="O28" s="59"/>
      <c r="P28" s="60">
        <f>SUM(P22:P27)</f>
        <v>47892301.390000001</v>
      </c>
      <c r="Q28" s="131"/>
      <c r="R28" s="119">
        <f>SUM(R22:R27)</f>
        <v>50596374.270000003</v>
      </c>
      <c r="S28" s="131"/>
      <c r="T28" s="119">
        <f>SUM(T22:T27)</f>
        <v>49936715.100000001</v>
      </c>
      <c r="U28" s="131"/>
      <c r="V28" s="119">
        <f>SUM(V22:V27)</f>
        <v>0</v>
      </c>
      <c r="W28" s="61"/>
      <c r="X28" s="46">
        <f t="shared" si="18"/>
        <v>21131037.370000001</v>
      </c>
      <c r="Y28" s="46">
        <f t="shared" si="19"/>
        <v>23022196.560000002</v>
      </c>
      <c r="Z28" s="46">
        <f t="shared" si="20"/>
        <v>25858749.729999997</v>
      </c>
      <c r="AA28" s="46">
        <f t="shared" si="21"/>
        <v>30195164.189999998</v>
      </c>
      <c r="AB28" s="46">
        <f t="shared" si="22"/>
        <v>32214638.919999998</v>
      </c>
      <c r="AC28" s="46">
        <f t="shared" si="23"/>
        <v>43615960.849999994</v>
      </c>
      <c r="AD28" s="46">
        <f t="shared" si="24"/>
        <v>47892301.390000001</v>
      </c>
      <c r="AE28" s="46">
        <f t="shared" si="25"/>
        <v>50596374.270000003</v>
      </c>
      <c r="AF28" s="46">
        <f t="shared" si="26"/>
        <v>49936715.100000001</v>
      </c>
      <c r="AG28" s="46">
        <f t="shared" si="27"/>
        <v>0</v>
      </c>
      <c r="AI28" s="90" t="s">
        <v>2</v>
      </c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</row>
    <row r="29" spans="1:49" s="11" customFormat="1" ht="17" x14ac:dyDescent="0.2">
      <c r="A29" s="86" t="s">
        <v>32</v>
      </c>
      <c r="B29" s="73"/>
      <c r="C29" s="41"/>
      <c r="D29" s="33">
        <f>290860+329829.5+1905146.24</f>
        <v>2525835.7400000002</v>
      </c>
      <c r="E29" s="41"/>
      <c r="F29" s="33">
        <f>5508465.42+2776758.8-F30-F31-2435251.59</f>
        <v>2105478.04</v>
      </c>
      <c r="G29" s="41"/>
      <c r="H29" s="33">
        <f>5705292.42-H30-H31+3601420.53-2032789.53</f>
        <v>3895920.6899999995</v>
      </c>
      <c r="I29" s="41"/>
      <c r="J29" s="33">
        <f>51206.28+302169.5+227426</f>
        <v>580801.78</v>
      </c>
      <c r="K29" s="41"/>
      <c r="L29" s="33">
        <f>227426+602169.5+23321.42+286153.67</f>
        <v>1139070.5900000001</v>
      </c>
      <c r="M29" s="41"/>
      <c r="N29" s="118">
        <f>2278914-531248</f>
        <v>1747666</v>
      </c>
      <c r="O29" s="41"/>
      <c r="P29" s="118">
        <f>85928.96+474634.15+87446+94814</f>
        <v>742823.11</v>
      </c>
      <c r="Q29" s="130"/>
      <c r="R29" s="118">
        <v>932567</v>
      </c>
      <c r="S29" s="130"/>
      <c r="T29" s="118">
        <f>841869+849561+5788</f>
        <v>1697218</v>
      </c>
      <c r="U29" s="130"/>
      <c r="V29" s="118"/>
      <c r="W29" s="7"/>
      <c r="X29" s="48">
        <f t="shared" si="18"/>
        <v>2525835.7400000002</v>
      </c>
      <c r="Y29" s="48">
        <f t="shared" si="19"/>
        <v>2105478.04</v>
      </c>
      <c r="Z29" s="48">
        <f t="shared" si="20"/>
        <v>3895920.6899999995</v>
      </c>
      <c r="AA29" s="44">
        <f t="shared" si="21"/>
        <v>580801.78</v>
      </c>
      <c r="AB29" s="44">
        <f t="shared" si="22"/>
        <v>1139070.5900000001</v>
      </c>
      <c r="AC29" s="44">
        <f t="shared" si="23"/>
        <v>1747666</v>
      </c>
      <c r="AD29" s="44">
        <f t="shared" si="24"/>
        <v>742823.11</v>
      </c>
      <c r="AE29" s="44">
        <f t="shared" si="25"/>
        <v>932567</v>
      </c>
      <c r="AF29" s="44">
        <f t="shared" si="26"/>
        <v>1697218</v>
      </c>
      <c r="AG29" s="44">
        <f t="shared" si="27"/>
        <v>0</v>
      </c>
      <c r="AI29" s="87" t="s">
        <v>32</v>
      </c>
    </row>
    <row r="30" spans="1:49" s="11" customFormat="1" ht="17" x14ac:dyDescent="0.2">
      <c r="A30" s="86" t="s">
        <v>33</v>
      </c>
      <c r="B30" s="73"/>
      <c r="C30" s="41"/>
      <c r="D30" s="33">
        <f>6240.21+3959741.87</f>
        <v>3965982.08</v>
      </c>
      <c r="E30" s="41"/>
      <c r="F30" s="33">
        <v>3602746.73</v>
      </c>
      <c r="G30" s="41"/>
      <c r="H30" s="33">
        <v>3183259.2</v>
      </c>
      <c r="I30" s="41"/>
      <c r="J30" s="33">
        <v>4483192.4800000004</v>
      </c>
      <c r="K30" s="41"/>
      <c r="L30" s="33">
        <v>4320607.93</v>
      </c>
      <c r="M30" s="41"/>
      <c r="N30" s="118">
        <v>5331680</v>
      </c>
      <c r="O30" s="41"/>
      <c r="P30" s="118">
        <v>6542899.1799999997</v>
      </c>
      <c r="Q30" s="130"/>
      <c r="R30" s="118">
        <v>7914743</v>
      </c>
      <c r="S30" s="130"/>
      <c r="T30" s="118">
        <v>3239148.95</v>
      </c>
      <c r="U30" s="130"/>
      <c r="V30" s="118"/>
      <c r="W30" s="7"/>
      <c r="X30" s="48">
        <f t="shared" si="18"/>
        <v>3965982.08</v>
      </c>
      <c r="Y30" s="48">
        <f t="shared" si="19"/>
        <v>3602746.73</v>
      </c>
      <c r="Z30" s="48">
        <f t="shared" si="20"/>
        <v>3183259.2</v>
      </c>
      <c r="AA30" s="44">
        <f t="shared" si="21"/>
        <v>4483192.4800000004</v>
      </c>
      <c r="AB30" s="44">
        <f t="shared" si="22"/>
        <v>4320607.93</v>
      </c>
      <c r="AC30" s="44">
        <f t="shared" si="23"/>
        <v>5331680</v>
      </c>
      <c r="AD30" s="44">
        <f t="shared" si="24"/>
        <v>6542899.1799999997</v>
      </c>
      <c r="AE30" s="44">
        <f t="shared" si="25"/>
        <v>7914743</v>
      </c>
      <c r="AF30" s="44">
        <f t="shared" si="26"/>
        <v>3239148.95</v>
      </c>
      <c r="AG30" s="44">
        <f t="shared" si="27"/>
        <v>0</v>
      </c>
      <c r="AI30" s="87" t="s">
        <v>33</v>
      </c>
    </row>
    <row r="31" spans="1:49" s="11" customFormat="1" ht="17" x14ac:dyDescent="0.2">
      <c r="A31" s="86" t="s">
        <v>34</v>
      </c>
      <c r="B31" s="73"/>
      <c r="C31" s="41"/>
      <c r="D31" s="33">
        <f>84821.07+23845</f>
        <v>108666.07</v>
      </c>
      <c r="E31" s="41"/>
      <c r="F31" s="33">
        <f>117902.86+23845</f>
        <v>141747.85999999999</v>
      </c>
      <c r="G31" s="41"/>
      <c r="H31" s="33">
        <f>23845+170898.53</f>
        <v>194743.53</v>
      </c>
      <c r="I31" s="41"/>
      <c r="J31" s="33">
        <f>449.98+43213.09+140141.02+5788+23845</f>
        <v>213437.09</v>
      </c>
      <c r="K31" s="41"/>
      <c r="L31" s="33">
        <f>449.98+22222.96+86259.88+5788+23845</f>
        <v>138565.82</v>
      </c>
      <c r="M31" s="41"/>
      <c r="N31" s="118">
        <v>778094</v>
      </c>
      <c r="O31" s="41"/>
      <c r="P31" s="118">
        <v>771393.89</v>
      </c>
      <c r="Q31" s="130"/>
      <c r="R31" s="118">
        <v>358515</v>
      </c>
      <c r="S31" s="130"/>
      <c r="T31" s="118">
        <v>1037538</v>
      </c>
      <c r="U31" s="130"/>
      <c r="V31" s="118"/>
      <c r="W31" s="7"/>
      <c r="X31" s="48">
        <f t="shared" si="18"/>
        <v>108666.07</v>
      </c>
      <c r="Y31" s="48">
        <f t="shared" si="19"/>
        <v>141747.85999999999</v>
      </c>
      <c r="Z31" s="48">
        <f t="shared" si="20"/>
        <v>194743.53</v>
      </c>
      <c r="AA31" s="44">
        <f t="shared" si="21"/>
        <v>213437.09</v>
      </c>
      <c r="AB31" s="44">
        <f t="shared" si="22"/>
        <v>138565.82</v>
      </c>
      <c r="AC31" s="44">
        <f t="shared" si="23"/>
        <v>778094</v>
      </c>
      <c r="AD31" s="44">
        <f t="shared" si="24"/>
        <v>771393.89</v>
      </c>
      <c r="AE31" s="44">
        <f t="shared" si="25"/>
        <v>358515</v>
      </c>
      <c r="AF31" s="44">
        <f t="shared" si="26"/>
        <v>1037538</v>
      </c>
      <c r="AG31" s="44">
        <f t="shared" si="27"/>
        <v>0</v>
      </c>
      <c r="AI31" s="87" t="s">
        <v>34</v>
      </c>
    </row>
    <row r="32" spans="1:49" s="11" customFormat="1" ht="17" x14ac:dyDescent="0.2">
      <c r="A32" s="86" t="s">
        <v>35</v>
      </c>
      <c r="B32" s="73"/>
      <c r="C32" s="41"/>
      <c r="D32" s="33">
        <f>1166123.38+6625998.19</f>
        <v>7792121.5700000003</v>
      </c>
      <c r="E32" s="41"/>
      <c r="F32" s="33">
        <f>7465627.96+1342000.34</f>
        <v>8807628.3000000007</v>
      </c>
      <c r="G32" s="41"/>
      <c r="H32" s="33">
        <f>8589731.09+1182271.11</f>
        <v>9772002.1999999993</v>
      </c>
      <c r="I32" s="41"/>
      <c r="J32" s="33">
        <f>13145937.43+1030329.87</f>
        <v>14176267.299999999</v>
      </c>
      <c r="K32" s="41"/>
      <c r="L32" s="33">
        <f>939717.03+13418625.89</f>
        <v>14358342.92</v>
      </c>
      <c r="M32" s="41"/>
      <c r="N32" s="118">
        <f>27220160-2278914-5331680-778094+531248</f>
        <v>19362720</v>
      </c>
      <c r="O32" s="41"/>
      <c r="P32" s="118">
        <f>814271.31+17229958.81-94814</f>
        <v>17949416.119999997</v>
      </c>
      <c r="Q32" s="130"/>
      <c r="R32" s="118">
        <v>18110714</v>
      </c>
      <c r="S32" s="130"/>
      <c r="T32" s="118">
        <f>16946881+1289519</f>
        <v>18236400</v>
      </c>
      <c r="U32" s="130"/>
      <c r="V32" s="118"/>
      <c r="W32" s="7"/>
      <c r="X32" s="48">
        <f t="shared" si="18"/>
        <v>7792121.5700000003</v>
      </c>
      <c r="Y32" s="48">
        <f t="shared" si="19"/>
        <v>8807628.3000000007</v>
      </c>
      <c r="Z32" s="48">
        <f t="shared" si="20"/>
        <v>9772002.1999999993</v>
      </c>
      <c r="AA32" s="44">
        <f t="shared" si="21"/>
        <v>14176267.299999999</v>
      </c>
      <c r="AB32" s="44">
        <f t="shared" si="22"/>
        <v>14358342.92</v>
      </c>
      <c r="AC32" s="44">
        <f t="shared" si="23"/>
        <v>19362720</v>
      </c>
      <c r="AD32" s="44">
        <f t="shared" si="24"/>
        <v>17949416.119999997</v>
      </c>
      <c r="AE32" s="44">
        <f t="shared" si="25"/>
        <v>18110714</v>
      </c>
      <c r="AF32" s="44">
        <f t="shared" si="26"/>
        <v>18236400</v>
      </c>
      <c r="AG32" s="44">
        <f t="shared" si="27"/>
        <v>0</v>
      </c>
      <c r="AI32" s="87" t="s">
        <v>35</v>
      </c>
    </row>
    <row r="33" spans="1:49" s="11" customFormat="1" ht="17" x14ac:dyDescent="0.2">
      <c r="A33" s="86" t="s">
        <v>83</v>
      </c>
      <c r="B33" s="73"/>
      <c r="C33" s="41"/>
      <c r="D33" s="33"/>
      <c r="E33" s="41"/>
      <c r="F33" s="33"/>
      <c r="G33" s="41"/>
      <c r="H33" s="33"/>
      <c r="I33" s="41"/>
      <c r="J33" s="33"/>
      <c r="K33" s="41"/>
      <c r="L33" s="33"/>
      <c r="M33" s="41"/>
      <c r="N33" s="118"/>
      <c r="O33" s="41"/>
      <c r="P33" s="118">
        <v>0</v>
      </c>
      <c r="Q33" s="130"/>
      <c r="R33" s="118">
        <v>0</v>
      </c>
      <c r="S33" s="130"/>
      <c r="T33" s="118">
        <v>0</v>
      </c>
      <c r="U33" s="130"/>
      <c r="V33" s="118"/>
      <c r="W33" s="7"/>
      <c r="X33" s="48">
        <f t="shared" si="18"/>
        <v>0</v>
      </c>
      <c r="Y33" s="48">
        <f t="shared" si="19"/>
        <v>0</v>
      </c>
      <c r="Z33" s="48">
        <f t="shared" si="20"/>
        <v>0</v>
      </c>
      <c r="AA33" s="44">
        <f t="shared" si="21"/>
        <v>0</v>
      </c>
      <c r="AB33" s="44">
        <f>L33</f>
        <v>0</v>
      </c>
      <c r="AC33" s="44">
        <f t="shared" si="23"/>
        <v>0</v>
      </c>
      <c r="AD33" s="44">
        <f t="shared" si="24"/>
        <v>0</v>
      </c>
      <c r="AE33" s="44">
        <f t="shared" si="25"/>
        <v>0</v>
      </c>
      <c r="AF33" s="44">
        <f t="shared" si="26"/>
        <v>0</v>
      </c>
      <c r="AG33" s="44">
        <f t="shared" si="27"/>
        <v>0</v>
      </c>
      <c r="AI33" s="87" t="s">
        <v>83</v>
      </c>
    </row>
    <row r="34" spans="1:49" s="76" customFormat="1" ht="17" x14ac:dyDescent="0.2">
      <c r="A34" s="74" t="s">
        <v>95</v>
      </c>
      <c r="B34" s="75"/>
      <c r="C34" s="59"/>
      <c r="D34" s="60">
        <f>SUM(D29:D33)</f>
        <v>14392605.460000001</v>
      </c>
      <c r="E34" s="59"/>
      <c r="F34" s="60">
        <f>SUM(F29:F33)</f>
        <v>14657600.93</v>
      </c>
      <c r="G34" s="59"/>
      <c r="H34" s="60">
        <f>SUM(H29:H33)</f>
        <v>17045925.619999997</v>
      </c>
      <c r="I34" s="59"/>
      <c r="J34" s="60">
        <f>SUM(J29:J33)</f>
        <v>19453698.649999999</v>
      </c>
      <c r="K34" s="59"/>
      <c r="L34" s="60">
        <f>SUM(L29:L33)</f>
        <v>19956587.259999998</v>
      </c>
      <c r="M34" s="59"/>
      <c r="N34" s="60">
        <f>SUM(N29:N33)</f>
        <v>27220160</v>
      </c>
      <c r="O34" s="59"/>
      <c r="P34" s="60">
        <f>SUM(P29:P33)</f>
        <v>26006532.299999997</v>
      </c>
      <c r="Q34" s="131"/>
      <c r="R34" s="60">
        <f>SUM(R29:R33)</f>
        <v>27316539</v>
      </c>
      <c r="S34" s="131"/>
      <c r="T34" s="119">
        <f>SUM(T29:T33)</f>
        <v>24210304.949999999</v>
      </c>
      <c r="U34" s="131"/>
      <c r="V34" s="119">
        <f>SUM(V29:V33)</f>
        <v>0</v>
      </c>
      <c r="W34" s="64"/>
      <c r="X34" s="45">
        <f>D34</f>
        <v>14392605.460000001</v>
      </c>
      <c r="Y34" s="45">
        <f>F34</f>
        <v>14657600.93</v>
      </c>
      <c r="Z34" s="45">
        <f>H34</f>
        <v>17045925.619999997</v>
      </c>
      <c r="AA34" s="46">
        <f>J34</f>
        <v>19453698.649999999</v>
      </c>
      <c r="AB34" s="46">
        <f t="shared" si="22"/>
        <v>19956587.259999998</v>
      </c>
      <c r="AC34" s="46">
        <f t="shared" si="23"/>
        <v>27220160</v>
      </c>
      <c r="AD34" s="46">
        <f t="shared" si="24"/>
        <v>26006532.299999997</v>
      </c>
      <c r="AE34" s="46">
        <f t="shared" si="25"/>
        <v>27316539</v>
      </c>
      <c r="AF34" s="46">
        <f t="shared" si="26"/>
        <v>24210304.949999999</v>
      </c>
      <c r="AG34" s="46">
        <f t="shared" si="27"/>
        <v>0</v>
      </c>
      <c r="AI34" s="90" t="s">
        <v>95</v>
      </c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</row>
    <row r="35" spans="1:49" s="89" customFormat="1" ht="17" x14ac:dyDescent="0.2">
      <c r="A35" s="74" t="s">
        <v>1</v>
      </c>
      <c r="B35" s="88"/>
      <c r="C35" s="59"/>
      <c r="D35" s="60">
        <f>D28-D34</f>
        <v>6738431.9100000001</v>
      </c>
      <c r="E35" s="59"/>
      <c r="F35" s="60">
        <f>F28-F34</f>
        <v>8364595.6300000027</v>
      </c>
      <c r="G35" s="59"/>
      <c r="H35" s="60">
        <f>H28-H34</f>
        <v>8812824.1099999994</v>
      </c>
      <c r="I35" s="59"/>
      <c r="J35" s="60">
        <f>J28-J34</f>
        <v>10741465.539999999</v>
      </c>
      <c r="K35" s="59"/>
      <c r="L35" s="60">
        <f>L28-L34</f>
        <v>12258051.66</v>
      </c>
      <c r="M35" s="59"/>
      <c r="N35" s="119">
        <f>N28-N34</f>
        <v>16395800.849999994</v>
      </c>
      <c r="O35" s="59"/>
      <c r="P35" s="119">
        <f>P28-P34</f>
        <v>21885769.090000004</v>
      </c>
      <c r="Q35" s="131"/>
      <c r="R35" s="119">
        <f>R28-R34</f>
        <v>23279835.270000003</v>
      </c>
      <c r="S35" s="131"/>
      <c r="T35" s="119">
        <f>T28-T34</f>
        <v>25726410.150000002</v>
      </c>
      <c r="U35" s="131"/>
      <c r="V35" s="119">
        <f>V28-V34</f>
        <v>0</v>
      </c>
      <c r="W35" s="61"/>
      <c r="X35" s="46">
        <f>D35</f>
        <v>6738431.9100000001</v>
      </c>
      <c r="Y35" s="46">
        <f>F35</f>
        <v>8364595.6300000027</v>
      </c>
      <c r="Z35" s="46">
        <f>H35</f>
        <v>8812824.1099999994</v>
      </c>
      <c r="AA35" s="46">
        <f>J35</f>
        <v>10741465.539999999</v>
      </c>
      <c r="AB35" s="46">
        <f t="shared" si="22"/>
        <v>12258051.66</v>
      </c>
      <c r="AC35" s="46">
        <f t="shared" si="23"/>
        <v>16395800.849999994</v>
      </c>
      <c r="AD35" s="46">
        <f t="shared" si="24"/>
        <v>21885769.090000004</v>
      </c>
      <c r="AE35" s="46">
        <f t="shared" si="25"/>
        <v>23279835.270000003</v>
      </c>
      <c r="AF35" s="46">
        <f t="shared" si="26"/>
        <v>25726410.150000002</v>
      </c>
      <c r="AG35" s="46">
        <f t="shared" si="27"/>
        <v>0</v>
      </c>
      <c r="AI35" s="90" t="s">
        <v>1</v>
      </c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</row>
    <row r="36" spans="1:49" s="11" customFormat="1" x14ac:dyDescent="0.2">
      <c r="A36" s="81"/>
      <c r="B36" s="82"/>
      <c r="C36" s="5"/>
      <c r="D36" s="32"/>
      <c r="E36" s="5"/>
      <c r="F36" s="32"/>
      <c r="G36" s="5"/>
      <c r="H36" s="32"/>
      <c r="I36" s="5"/>
      <c r="J36" s="32"/>
      <c r="K36" s="5"/>
      <c r="L36" s="36"/>
      <c r="M36" s="5"/>
      <c r="N36" s="117"/>
      <c r="O36" s="5"/>
      <c r="P36" s="117"/>
      <c r="Q36" s="126"/>
      <c r="R36" s="117"/>
      <c r="S36" s="126"/>
      <c r="T36" s="117"/>
      <c r="U36" s="126"/>
      <c r="V36" s="117"/>
      <c r="W36" s="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10"/>
      <c r="AI36" s="92"/>
    </row>
    <row r="37" spans="1:49" s="11" customFormat="1" ht="19" x14ac:dyDescent="0.25">
      <c r="A37" s="83" t="s">
        <v>6</v>
      </c>
      <c r="B37" s="73"/>
      <c r="C37" s="93" t="s">
        <v>25</v>
      </c>
      <c r="D37" s="94" t="s">
        <v>36</v>
      </c>
      <c r="E37" s="93" t="s">
        <v>37</v>
      </c>
      <c r="F37" s="94" t="s">
        <v>38</v>
      </c>
      <c r="G37" s="93" t="s">
        <v>39</v>
      </c>
      <c r="H37" s="94" t="s">
        <v>40</v>
      </c>
      <c r="I37" s="93" t="s">
        <v>41</v>
      </c>
      <c r="J37" s="94" t="s">
        <v>42</v>
      </c>
      <c r="K37" s="93" t="s">
        <v>43</v>
      </c>
      <c r="L37" s="94" t="s">
        <v>44</v>
      </c>
      <c r="M37" s="95" t="s">
        <v>67</v>
      </c>
      <c r="N37" s="96" t="s">
        <v>68</v>
      </c>
      <c r="O37" s="95" t="s">
        <v>69</v>
      </c>
      <c r="P37" s="96" t="s">
        <v>70</v>
      </c>
      <c r="Q37" s="95" t="s">
        <v>97</v>
      </c>
      <c r="R37" s="96" t="s">
        <v>98</v>
      </c>
      <c r="S37" s="95" t="s">
        <v>104</v>
      </c>
      <c r="T37" s="96" t="s">
        <v>105</v>
      </c>
      <c r="U37" s="95" t="s">
        <v>122</v>
      </c>
      <c r="V37" s="96" t="s">
        <v>123</v>
      </c>
      <c r="W37" s="7"/>
      <c r="X37" s="84" t="s">
        <v>58</v>
      </c>
      <c r="Y37" s="84" t="s">
        <v>59</v>
      </c>
      <c r="Z37" s="84" t="s">
        <v>60</v>
      </c>
      <c r="AA37" s="84" t="s">
        <v>61</v>
      </c>
      <c r="AB37" s="84" t="s">
        <v>66</v>
      </c>
      <c r="AC37" s="84" t="s">
        <v>71</v>
      </c>
      <c r="AD37" s="84" t="s">
        <v>72</v>
      </c>
      <c r="AE37" s="84" t="s">
        <v>99</v>
      </c>
      <c r="AF37" s="84" t="s">
        <v>106</v>
      </c>
      <c r="AG37" s="84" t="s">
        <v>124</v>
      </c>
      <c r="AI37" s="85" t="s">
        <v>6</v>
      </c>
    </row>
    <row r="38" spans="1:49" s="76" customFormat="1" ht="17" x14ac:dyDescent="0.2">
      <c r="A38" s="97" t="s">
        <v>21</v>
      </c>
      <c r="B38" s="75"/>
      <c r="C38" s="62">
        <f t="shared" ref="C38:K38" si="28">C39+C40+C41+C42+C43+C44</f>
        <v>3598441.6399999997</v>
      </c>
      <c r="D38" s="60">
        <f t="shared" si="28"/>
        <v>2567500.84</v>
      </c>
      <c r="E38" s="63">
        <f t="shared" si="28"/>
        <v>4950900.01</v>
      </c>
      <c r="F38" s="60">
        <f t="shared" si="28"/>
        <v>3495482.87</v>
      </c>
      <c r="G38" s="63">
        <f t="shared" si="28"/>
        <v>5132942.83</v>
      </c>
      <c r="H38" s="60">
        <f t="shared" si="28"/>
        <v>3587964.6000000006</v>
      </c>
      <c r="I38" s="63">
        <f t="shared" si="28"/>
        <v>5037270.12</v>
      </c>
      <c r="J38" s="60">
        <f t="shared" si="28"/>
        <v>3777631.89</v>
      </c>
      <c r="K38" s="63">
        <f t="shared" si="28"/>
        <v>5608060.7000000002</v>
      </c>
      <c r="L38" s="60">
        <f t="shared" ref="L38:V38" si="29">L39+L40+L41+L42+L43+L44</f>
        <v>3865403.92</v>
      </c>
      <c r="M38" s="63">
        <f t="shared" si="29"/>
        <v>6070961.709999999</v>
      </c>
      <c r="N38" s="119">
        <f t="shared" si="29"/>
        <v>4450477</v>
      </c>
      <c r="O38" s="63">
        <f t="shared" si="29"/>
        <v>5760700.6600000011</v>
      </c>
      <c r="P38" s="119">
        <f t="shared" si="29"/>
        <v>3869735.59</v>
      </c>
      <c r="Q38" s="128">
        <f t="shared" si="29"/>
        <v>7061112.3200000003</v>
      </c>
      <c r="R38" s="119">
        <f t="shared" si="29"/>
        <v>4540291</v>
      </c>
      <c r="S38" s="128">
        <f t="shared" si="29"/>
        <v>6717598.6299999999</v>
      </c>
      <c r="T38" s="119">
        <f t="shared" si="29"/>
        <v>6378610.54</v>
      </c>
      <c r="U38" s="128">
        <f t="shared" si="29"/>
        <v>7557350.1299999999</v>
      </c>
      <c r="V38" s="119">
        <f t="shared" si="29"/>
        <v>0</v>
      </c>
      <c r="W38" s="64"/>
      <c r="X38" s="46">
        <f t="shared" ref="X38:AD38" si="30">SUM(X39:X44)</f>
        <v>6165942.4799999995</v>
      </c>
      <c r="Y38" s="46">
        <f t="shared" si="30"/>
        <v>8446382.879999999</v>
      </c>
      <c r="Z38" s="46">
        <f t="shared" si="30"/>
        <v>8720907.4299999997</v>
      </c>
      <c r="AA38" s="46">
        <f t="shared" si="30"/>
        <v>8814902.0099999998</v>
      </c>
      <c r="AB38" s="46">
        <f t="shared" si="30"/>
        <v>9473464.620000001</v>
      </c>
      <c r="AC38" s="46">
        <f>SUM(AC39:AC44)</f>
        <v>10521438.710000001</v>
      </c>
      <c r="AD38" s="46">
        <f t="shared" si="30"/>
        <v>9630436.2500000019</v>
      </c>
      <c r="AE38" s="46">
        <f>SUM(AE39:AE44)</f>
        <v>11601403.32</v>
      </c>
      <c r="AF38" s="46">
        <f>S38+T38</f>
        <v>13096209.17</v>
      </c>
      <c r="AG38" s="46">
        <f t="shared" ref="AG38" si="31">SUM(AG39:AG44)</f>
        <v>7557350.1299999999</v>
      </c>
      <c r="AI38" s="98" t="s">
        <v>21</v>
      </c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</row>
    <row r="39" spans="1:49" s="11" customFormat="1" ht="17" x14ac:dyDescent="0.2">
      <c r="A39" s="99" t="s">
        <v>9</v>
      </c>
      <c r="B39" s="73"/>
      <c r="C39" s="12">
        <v>1047352.95</v>
      </c>
      <c r="D39" s="31">
        <v>785580.48399999994</v>
      </c>
      <c r="E39" s="28">
        <v>1149805.5899999999</v>
      </c>
      <c r="F39" s="31">
        <v>881306.67999999993</v>
      </c>
      <c r="G39" s="28">
        <v>1430504.2</v>
      </c>
      <c r="H39" s="31">
        <v>994146.18</v>
      </c>
      <c r="I39" s="28">
        <v>1370515.8399999999</v>
      </c>
      <c r="J39" s="31">
        <v>1211928.44</v>
      </c>
      <c r="K39" s="28">
        <v>1581934</v>
      </c>
      <c r="L39" s="31">
        <v>1244596.75</v>
      </c>
      <c r="M39" s="28">
        <f>1211498.58+726406.04+1604547.01+70990.84-1831463</f>
        <v>1781979.4699999997</v>
      </c>
      <c r="N39" s="121">
        <f>1002878.06+291290.93+562730.17-N40</f>
        <v>1382585.6800000002</v>
      </c>
      <c r="O39" s="28">
        <f>1136385.1+693830.37+1636048.76+70616.83-O40</f>
        <v>1482553.0600000005</v>
      </c>
      <c r="P39" s="121">
        <v>1362250</v>
      </c>
      <c r="Q39" s="122">
        <f>479537.95+433058.68+491355.74+88497.16</f>
        <v>1492449.53</v>
      </c>
      <c r="R39" s="121">
        <f>2073080-R40+30597</f>
        <v>1266387</v>
      </c>
      <c r="S39" s="122">
        <f>1286894.96+689885.73+1829370.16-S40</f>
        <v>1588019.2099999995</v>
      </c>
      <c r="T39" s="121">
        <f>1014470.52+353542.38+621810.49-T40+12708.6+79780.59</f>
        <v>1324619.56</v>
      </c>
      <c r="U39" s="122">
        <f>1452579.12+819664.28+135+1901940.38-U40+19287+272115.65</f>
        <v>2170886.19</v>
      </c>
      <c r="V39" s="121"/>
      <c r="W39" s="7"/>
      <c r="X39" s="44">
        <f t="shared" ref="X39:X47" si="32">C39+D39</f>
        <v>1832933.4339999999</v>
      </c>
      <c r="Y39" s="44">
        <f t="shared" ref="Y39:Y47" si="33">E39+F39</f>
        <v>2031112.2699999998</v>
      </c>
      <c r="Z39" s="44">
        <f t="shared" ref="Z39:Z47" si="34">G39+H39</f>
        <v>2424650.38</v>
      </c>
      <c r="AA39" s="44">
        <f t="shared" ref="AA39:AA47" si="35">I39+J39</f>
        <v>2582444.2799999998</v>
      </c>
      <c r="AB39" s="44">
        <f t="shared" ref="AB39:AB50" si="36">K39+L39</f>
        <v>2826530.75</v>
      </c>
      <c r="AC39" s="44">
        <f t="shared" ref="AC39:AC50" si="37">M39+N39</f>
        <v>3164565.15</v>
      </c>
      <c r="AD39" s="44">
        <f t="shared" ref="AD39:AD50" si="38">O39+P39</f>
        <v>2844803.0600000005</v>
      </c>
      <c r="AE39" s="44">
        <f t="shared" ref="AE39:AE50" si="39">Q39+R39</f>
        <v>2758836.5300000003</v>
      </c>
      <c r="AF39" s="44">
        <f t="shared" ref="AF39:AF50" si="40">S39+T39</f>
        <v>2912638.7699999996</v>
      </c>
      <c r="AG39" s="44">
        <f t="shared" ref="AG39:AG50" si="41">U39+V39</f>
        <v>2170886.19</v>
      </c>
      <c r="AI39" s="100" t="s">
        <v>9</v>
      </c>
    </row>
    <row r="40" spans="1:49" s="11" customFormat="1" ht="17" x14ac:dyDescent="0.2">
      <c r="A40" s="99" t="s">
        <v>10</v>
      </c>
      <c r="B40" s="73"/>
      <c r="C40" s="12">
        <v>1280098.05</v>
      </c>
      <c r="D40" s="31">
        <v>423004.87599999993</v>
      </c>
      <c r="E40" s="28">
        <v>1607009.87</v>
      </c>
      <c r="F40" s="31">
        <v>535669.96</v>
      </c>
      <c r="G40" s="28">
        <v>1661554.01</v>
      </c>
      <c r="H40" s="31">
        <v>553851.34</v>
      </c>
      <c r="I40" s="28">
        <v>1683090.52</v>
      </c>
      <c r="J40" s="31">
        <v>561030.17000000004</v>
      </c>
      <c r="K40" s="28">
        <v>2159561</v>
      </c>
      <c r="L40" s="31">
        <v>585692.59</v>
      </c>
      <c r="M40" s="28">
        <v>1831463.33</v>
      </c>
      <c r="N40" s="121">
        <f>81065.12+2841.9+70602.26+2273.68+128643.46+3031.36+80512.67+4357.58+342.24+5873.26+94427.71+342.24</f>
        <v>474313.48</v>
      </c>
      <c r="O40" s="28">
        <v>2054328</v>
      </c>
      <c r="P40" s="121">
        <v>477337.06</v>
      </c>
      <c r="Q40" s="122">
        <f>2345036.97+110102</f>
        <v>2455138.9700000002</v>
      </c>
      <c r="R40" s="121">
        <v>837290</v>
      </c>
      <c r="S40" s="122">
        <v>2218131.64</v>
      </c>
      <c r="T40" s="121">
        <v>757693.02</v>
      </c>
      <c r="U40" s="122">
        <f>2566950.89-272115.65</f>
        <v>2294835.2400000002</v>
      </c>
      <c r="V40" s="121"/>
      <c r="W40" s="7"/>
      <c r="X40" s="44">
        <f t="shared" si="32"/>
        <v>1703102.926</v>
      </c>
      <c r="Y40" s="44">
        <f t="shared" si="33"/>
        <v>2142679.83</v>
      </c>
      <c r="Z40" s="44">
        <f t="shared" si="34"/>
        <v>2215405.35</v>
      </c>
      <c r="AA40" s="44">
        <f t="shared" si="35"/>
        <v>2244120.69</v>
      </c>
      <c r="AB40" s="44">
        <f t="shared" si="36"/>
        <v>2745253.59</v>
      </c>
      <c r="AC40" s="44">
        <f t="shared" si="37"/>
        <v>2305776.81</v>
      </c>
      <c r="AD40" s="44">
        <f t="shared" si="38"/>
        <v>2531665.06</v>
      </c>
      <c r="AE40" s="44">
        <f t="shared" si="39"/>
        <v>3292428.97</v>
      </c>
      <c r="AF40" s="44">
        <f t="shared" si="40"/>
        <v>2975824.66</v>
      </c>
      <c r="AG40" s="44">
        <f t="shared" si="41"/>
        <v>2294835.2400000002</v>
      </c>
      <c r="AI40" s="100" t="s">
        <v>10</v>
      </c>
    </row>
    <row r="41" spans="1:49" s="11" customFormat="1" ht="17" x14ac:dyDescent="0.2">
      <c r="A41" s="99" t="s">
        <v>7</v>
      </c>
      <c r="B41" s="73"/>
      <c r="C41" s="12">
        <v>290883.71999999997</v>
      </c>
      <c r="D41" s="31">
        <v>225396.59999999998</v>
      </c>
      <c r="E41" s="28">
        <v>285474.76</v>
      </c>
      <c r="F41" s="31">
        <v>251399.82</v>
      </c>
      <c r="G41" s="28">
        <v>264056.15000000002</v>
      </c>
      <c r="H41" s="31">
        <v>225175.87</v>
      </c>
      <c r="I41" s="28">
        <v>252537.2</v>
      </c>
      <c r="J41" s="31">
        <v>249437.26</v>
      </c>
      <c r="K41" s="28">
        <v>298340.7</v>
      </c>
      <c r="L41" s="31">
        <v>255087.86</v>
      </c>
      <c r="M41" s="28">
        <v>334428.69</v>
      </c>
      <c r="N41" s="121">
        <v>338051</v>
      </c>
      <c r="O41" s="28">
        <v>348598.3</v>
      </c>
      <c r="P41" s="121">
        <v>306660.21999999997</v>
      </c>
      <c r="Q41" s="122">
        <f>487309-156616</f>
        <v>330693</v>
      </c>
      <c r="R41" s="121">
        <f>329326-30597</f>
        <v>298729</v>
      </c>
      <c r="S41" s="122">
        <v>516972.66</v>
      </c>
      <c r="T41" s="121">
        <v>370956.55</v>
      </c>
      <c r="U41" s="122">
        <v>681262.86</v>
      </c>
      <c r="V41" s="121"/>
      <c r="W41" s="7"/>
      <c r="X41" s="44">
        <f t="shared" si="32"/>
        <v>516280.31999999995</v>
      </c>
      <c r="Y41" s="44">
        <f t="shared" si="33"/>
        <v>536874.58000000007</v>
      </c>
      <c r="Z41" s="44">
        <f t="shared" si="34"/>
        <v>489232.02</v>
      </c>
      <c r="AA41" s="44">
        <f t="shared" si="35"/>
        <v>501974.46</v>
      </c>
      <c r="AB41" s="44">
        <f t="shared" si="36"/>
        <v>553428.56000000006</v>
      </c>
      <c r="AC41" s="44">
        <f t="shared" si="37"/>
        <v>672479.69</v>
      </c>
      <c r="AD41" s="44">
        <f t="shared" si="38"/>
        <v>655258.52</v>
      </c>
      <c r="AE41" s="44">
        <f t="shared" si="39"/>
        <v>629422</v>
      </c>
      <c r="AF41" s="44">
        <f t="shared" si="40"/>
        <v>887929.21</v>
      </c>
      <c r="AG41" s="44">
        <f t="shared" si="41"/>
        <v>681262.86</v>
      </c>
      <c r="AI41" s="100" t="s">
        <v>7</v>
      </c>
    </row>
    <row r="42" spans="1:49" s="11" customFormat="1" ht="17" x14ac:dyDescent="0.2">
      <c r="A42" s="99" t="s">
        <v>8</v>
      </c>
      <c r="B42" s="73"/>
      <c r="C42" s="12">
        <v>232384.18999999994</v>
      </c>
      <c r="D42" s="31">
        <v>456053.15</v>
      </c>
      <c r="E42" s="28">
        <v>1074976.06</v>
      </c>
      <c r="F42" s="31">
        <v>1093784.6800000002</v>
      </c>
      <c r="G42" s="28">
        <v>965963.79</v>
      </c>
      <c r="H42" s="31">
        <v>1036758.6300000001</v>
      </c>
      <c r="I42" s="28">
        <v>854022.34000000008</v>
      </c>
      <c r="J42" s="31">
        <v>957356.96</v>
      </c>
      <c r="K42" s="28">
        <v>560144</v>
      </c>
      <c r="L42" s="31">
        <f>897236.99+127960.28+282704.32-450420</f>
        <v>857481.59000000008</v>
      </c>
      <c r="M42" s="28">
        <f>287611.51+199099.95+854880.53-476121</f>
        <v>865470.99</v>
      </c>
      <c r="N42" s="121">
        <f>269457.95+18487.16+883538.66-N43+541393.05</f>
        <v>1236755.82</v>
      </c>
      <c r="O42" s="28">
        <f>227135.81+252402.87+774842.34-O43</f>
        <v>758541.02</v>
      </c>
      <c r="P42" s="121">
        <f>782374.44+149869+256940.66-P43</f>
        <v>693344.09999999986</v>
      </c>
      <c r="Q42" s="122">
        <f>229827.42+204458.01+747350.79-19292</f>
        <v>1162344.2200000002</v>
      </c>
      <c r="R42" s="121">
        <f>1340874-R43</f>
        <v>869908</v>
      </c>
      <c r="S42" s="122">
        <f>242956.35+253833.22+893297.77-552287</f>
        <v>837800.34000000008</v>
      </c>
      <c r="T42" s="121">
        <f>297849.76+270860.94+1143661.38</f>
        <v>1712372.0799999998</v>
      </c>
      <c r="U42" s="122">
        <f>289928+292865+957072-U43</f>
        <v>926978</v>
      </c>
      <c r="V42" s="121"/>
      <c r="W42" s="7"/>
      <c r="X42" s="44">
        <f t="shared" si="32"/>
        <v>688437.34</v>
      </c>
      <c r="Y42" s="44">
        <f t="shared" si="33"/>
        <v>2168760.7400000002</v>
      </c>
      <c r="Z42" s="44">
        <f t="shared" si="34"/>
        <v>2002722.4200000002</v>
      </c>
      <c r="AA42" s="44">
        <f t="shared" si="35"/>
        <v>1811379.3</v>
      </c>
      <c r="AB42" s="44">
        <f t="shared" si="36"/>
        <v>1417625.59</v>
      </c>
      <c r="AC42" s="44">
        <f t="shared" si="37"/>
        <v>2102226.81</v>
      </c>
      <c r="AD42" s="44">
        <f t="shared" si="38"/>
        <v>1451885.1199999999</v>
      </c>
      <c r="AE42" s="44">
        <f t="shared" si="39"/>
        <v>2032252.2200000002</v>
      </c>
      <c r="AF42" s="44">
        <f t="shared" si="40"/>
        <v>2550172.42</v>
      </c>
      <c r="AG42" s="44">
        <f t="shared" si="41"/>
        <v>926978</v>
      </c>
      <c r="AI42" s="100" t="s">
        <v>8</v>
      </c>
    </row>
    <row r="43" spans="1:49" s="11" customFormat="1" ht="17" x14ac:dyDescent="0.2">
      <c r="A43" s="99" t="s">
        <v>11</v>
      </c>
      <c r="B43" s="73"/>
      <c r="C43" s="12">
        <v>411621.73</v>
      </c>
      <c r="D43" s="31">
        <v>411621.73</v>
      </c>
      <c r="E43" s="28">
        <v>411621.73</v>
      </c>
      <c r="F43" s="31">
        <v>411621.73</v>
      </c>
      <c r="G43" s="28">
        <v>419276.68</v>
      </c>
      <c r="H43" s="31">
        <v>419276.68</v>
      </c>
      <c r="I43" s="28">
        <v>422421.22</v>
      </c>
      <c r="J43" s="31">
        <v>439421.06</v>
      </c>
      <c r="K43" s="28">
        <v>450420</v>
      </c>
      <c r="L43" s="31">
        <v>450420</v>
      </c>
      <c r="M43" s="28">
        <v>476121</v>
      </c>
      <c r="N43" s="121">
        <v>476121</v>
      </c>
      <c r="O43" s="28">
        <v>495840</v>
      </c>
      <c r="P43" s="122">
        <v>495840</v>
      </c>
      <c r="Q43" s="122">
        <f>476761+3250</f>
        <v>480011</v>
      </c>
      <c r="R43" s="121">
        <v>470966</v>
      </c>
      <c r="S43" s="122">
        <v>552287</v>
      </c>
      <c r="T43" s="121">
        <v>466670</v>
      </c>
      <c r="U43" s="122">
        <v>612887</v>
      </c>
      <c r="V43" s="121"/>
      <c r="W43" s="7"/>
      <c r="X43" s="44">
        <f t="shared" si="32"/>
        <v>823243.46</v>
      </c>
      <c r="Y43" s="44">
        <f t="shared" si="33"/>
        <v>823243.46</v>
      </c>
      <c r="Z43" s="44">
        <f t="shared" si="34"/>
        <v>838553.36</v>
      </c>
      <c r="AA43" s="44">
        <f t="shared" si="35"/>
        <v>861842.28</v>
      </c>
      <c r="AB43" s="44">
        <f t="shared" si="36"/>
        <v>900840</v>
      </c>
      <c r="AC43" s="44">
        <f t="shared" si="37"/>
        <v>952242</v>
      </c>
      <c r="AD43" s="44">
        <f t="shared" si="38"/>
        <v>991680</v>
      </c>
      <c r="AE43" s="44">
        <f t="shared" si="39"/>
        <v>950977</v>
      </c>
      <c r="AF43" s="44">
        <f t="shared" si="40"/>
        <v>1018957</v>
      </c>
      <c r="AG43" s="44">
        <f t="shared" si="41"/>
        <v>612887</v>
      </c>
      <c r="AI43" s="100" t="s">
        <v>11</v>
      </c>
    </row>
    <row r="44" spans="1:49" s="11" customFormat="1" ht="17" x14ac:dyDescent="0.2">
      <c r="A44" s="99" t="s">
        <v>20</v>
      </c>
      <c r="B44" s="73"/>
      <c r="C44" s="12">
        <v>336101</v>
      </c>
      <c r="D44" s="31">
        <v>265844</v>
      </c>
      <c r="E44" s="28">
        <v>422012</v>
      </c>
      <c r="F44" s="31">
        <v>321700</v>
      </c>
      <c r="G44" s="28">
        <v>391588</v>
      </c>
      <c r="H44" s="31">
        <v>358755.9</v>
      </c>
      <c r="I44" s="28">
        <v>454683</v>
      </c>
      <c r="J44" s="31">
        <v>358458</v>
      </c>
      <c r="K44" s="28">
        <v>557661</v>
      </c>
      <c r="L44" s="31">
        <f>120240.29+49572.05+15959.74+39546.47+6029.2+12990.85+76277.44+20341.55+131167.54</f>
        <v>472125.13</v>
      </c>
      <c r="M44" s="28">
        <f>150005.21+57690.98+24196.17+66156.05+140316.75+8591.82+17180.27+75503.53+25381.29+121530.08+22167.24+72778.84</f>
        <v>781498.23</v>
      </c>
      <c r="N44" s="121">
        <f>107170.77+54827.04+13897.09+34876.35+124471.23+7242.57+16549.97+76222.46+107392.54</f>
        <v>542650.02</v>
      </c>
      <c r="O44" s="28">
        <f>138641.73+64164.71+23370.96+66857.72+131967.78+11193.24+15246.86+49656.07+83779.4+16360.39+686+499+18416.42</f>
        <v>620840.28</v>
      </c>
      <c r="P44" s="121">
        <f>117131.2+20086.35+14405.04+48465.81+113753.24+51640.24+14727.17+35688.94+93673+24733.22</f>
        <v>534304.21</v>
      </c>
      <c r="Q44" s="122">
        <f>279888.97+21930.8+47126.67+142116.16+98220.78+152263.08+208173.27+161959.58+28796.29</f>
        <v>1140475.6000000001</v>
      </c>
      <c r="R44" s="121">
        <v>797011</v>
      </c>
      <c r="S44" s="122">
        <f>117092.89+143148.08+59394.67+30948.62+163976.04+165167.7+32362.43+26607.5+88436.47+151551.01+190+3581+21931.37</f>
        <v>1004387.78</v>
      </c>
      <c r="T44" s="121">
        <f>177425.84+92478.4+741188.56+11538.18+226958.47+193651.49+120393.37+23335.7+3348.69+18760.31+135669.32+1551</f>
        <v>1746299.33</v>
      </c>
      <c r="U44" s="122">
        <f>117853.18+158865.68+89684.37+6970.97+82761.22+196924.01-6114.23+3505+2898.32+77714.07+16912.42+122525.83</f>
        <v>870500.83999999985</v>
      </c>
      <c r="V44" s="121"/>
      <c r="W44" s="7"/>
      <c r="X44" s="44">
        <f t="shared" si="32"/>
        <v>601945</v>
      </c>
      <c r="Y44" s="44">
        <f t="shared" si="33"/>
        <v>743712</v>
      </c>
      <c r="Z44" s="44">
        <f t="shared" si="34"/>
        <v>750343.9</v>
      </c>
      <c r="AA44" s="44">
        <f t="shared" si="35"/>
        <v>813141</v>
      </c>
      <c r="AB44" s="44">
        <f t="shared" si="36"/>
        <v>1029786.13</v>
      </c>
      <c r="AC44" s="44">
        <f t="shared" si="37"/>
        <v>1324148.25</v>
      </c>
      <c r="AD44" s="44">
        <f t="shared" si="38"/>
        <v>1155144.49</v>
      </c>
      <c r="AE44" s="44">
        <f t="shared" si="39"/>
        <v>1937486.6</v>
      </c>
      <c r="AF44" s="44">
        <f t="shared" si="40"/>
        <v>2750687.1100000003</v>
      </c>
      <c r="AG44" s="44">
        <f t="shared" si="41"/>
        <v>870500.83999999985</v>
      </c>
      <c r="AI44" s="100" t="s">
        <v>20</v>
      </c>
    </row>
    <row r="45" spans="1:49" s="11" customFormat="1" ht="17" x14ac:dyDescent="0.2">
      <c r="A45" s="101" t="s">
        <v>12</v>
      </c>
      <c r="B45" s="73"/>
      <c r="C45" s="12">
        <v>1666414.9999999998</v>
      </c>
      <c r="D45" s="31">
        <v>724194.38999999978</v>
      </c>
      <c r="E45" s="28">
        <v>2196103.2721398999</v>
      </c>
      <c r="F45" s="31">
        <v>784672.09</v>
      </c>
      <c r="G45" s="28">
        <v>2247836.37</v>
      </c>
      <c r="H45" s="31">
        <v>765709.95000000007</v>
      </c>
      <c r="I45" s="28">
        <v>2580119.66</v>
      </c>
      <c r="J45" s="31">
        <v>824331.60499999998</v>
      </c>
      <c r="K45" s="28">
        <v>3165633</v>
      </c>
      <c r="L45" s="31">
        <f>442609.02+13144.12+135987.64+143162.44+840.88+50276.41+2301.74+(145068.31/2)+111528.16+8616.23+5928.6+256+38</f>
        <v>987223.39500000002</v>
      </c>
      <c r="M45" s="28">
        <f>1920132.7+18871.31+215706.4+99838.83+210886.37+6211.37+1796+371</f>
        <v>2473813.9800000004</v>
      </c>
      <c r="N45" s="121">
        <f>428514.97+25544.16+118570.65+79064.44+7981.2+129630.31+5500</f>
        <v>794805.73</v>
      </c>
      <c r="O45" s="28">
        <f>2255643.35+26357.58+165784.39+2566.16+391152.85+106966.93+27597.08+214132.47+21050.45+686+499</f>
        <v>3212436.2600000012</v>
      </c>
      <c r="P45" s="121">
        <f>479897.45+181778.66+30672.55+110528.15+103899.03+3019.31+82159.18</f>
        <v>991954.33000000007</v>
      </c>
      <c r="Q45" s="122">
        <f>654+4123+13752+2135571+48279.22+290006+23865.52+3050311.06</f>
        <v>5566561.8000000007</v>
      </c>
      <c r="R45" s="121">
        <v>1219847</v>
      </c>
      <c r="S45" s="122">
        <f>1495976.21+1043895.8</f>
        <v>2539872.0099999998</v>
      </c>
      <c r="T45" s="121">
        <f>208882.29+209721.53+1419.94+217535.98+1033.72+3602.67+91222.12+3672.15+12100</f>
        <v>749190.4</v>
      </c>
      <c r="U45" s="122">
        <f>1549160.7+325626.79+2750+674314.08</f>
        <v>2551851.5699999998</v>
      </c>
      <c r="V45" s="121"/>
      <c r="W45" s="7"/>
      <c r="X45" s="44">
        <f t="shared" si="32"/>
        <v>2390609.3899999997</v>
      </c>
      <c r="Y45" s="44">
        <f t="shared" si="33"/>
        <v>2980775.3621398997</v>
      </c>
      <c r="Z45" s="44">
        <f t="shared" si="34"/>
        <v>3013546.3200000003</v>
      </c>
      <c r="AA45" s="44">
        <f t="shared" si="35"/>
        <v>3404451.2650000001</v>
      </c>
      <c r="AB45" s="44">
        <f t="shared" si="36"/>
        <v>4152856.395</v>
      </c>
      <c r="AC45" s="44">
        <f t="shared" si="37"/>
        <v>3268619.7100000004</v>
      </c>
      <c r="AD45" s="44">
        <f t="shared" si="38"/>
        <v>4204390.5900000017</v>
      </c>
      <c r="AE45" s="44">
        <f t="shared" si="39"/>
        <v>6786408.8000000007</v>
      </c>
      <c r="AF45" s="44">
        <f t="shared" si="40"/>
        <v>3289062.4099999997</v>
      </c>
      <c r="AG45" s="44">
        <f t="shared" si="41"/>
        <v>2551851.5699999998</v>
      </c>
      <c r="AI45" s="102" t="s">
        <v>12</v>
      </c>
    </row>
    <row r="46" spans="1:49" s="11" customFormat="1" ht="17" x14ac:dyDescent="0.2">
      <c r="A46" s="103" t="s">
        <v>0</v>
      </c>
      <c r="B46" s="73"/>
      <c r="C46" s="12">
        <v>223256.24</v>
      </c>
      <c r="D46" s="31">
        <v>73896.34</v>
      </c>
      <c r="E46" s="28">
        <v>156661.92000000001</v>
      </c>
      <c r="F46" s="31">
        <v>722725.03</v>
      </c>
      <c r="G46" s="28">
        <v>727975.99</v>
      </c>
      <c r="H46" s="31">
        <v>250327.53</v>
      </c>
      <c r="I46" s="28">
        <v>640575</v>
      </c>
      <c r="J46" s="31">
        <v>101927.3</v>
      </c>
      <c r="K46" s="28">
        <v>504836</v>
      </c>
      <c r="L46" s="31">
        <v>283253</v>
      </c>
      <c r="M46" s="28">
        <f>784408*0.26</f>
        <v>203946.08000000002</v>
      </c>
      <c r="N46" s="121">
        <f>757023*0.26</f>
        <v>196825.98</v>
      </c>
      <c r="O46" s="28">
        <f>729310*0.26</f>
        <v>189620.6</v>
      </c>
      <c r="P46" s="121">
        <v>148943.48000000001</v>
      </c>
      <c r="Q46" s="122">
        <v>152991</v>
      </c>
      <c r="R46" s="121">
        <v>247771</v>
      </c>
      <c r="S46" s="122">
        <f>603052*0.33</f>
        <v>199007.16</v>
      </c>
      <c r="T46" s="121">
        <v>342996</v>
      </c>
      <c r="U46" s="122">
        <v>175450</v>
      </c>
      <c r="V46" s="121"/>
      <c r="W46" s="7"/>
      <c r="X46" s="44">
        <f t="shared" si="32"/>
        <v>297152.57999999996</v>
      </c>
      <c r="Y46" s="44">
        <f t="shared" si="33"/>
        <v>879386.95000000007</v>
      </c>
      <c r="Z46" s="44">
        <f t="shared" si="34"/>
        <v>978303.52</v>
      </c>
      <c r="AA46" s="44">
        <f t="shared" si="35"/>
        <v>742502.3</v>
      </c>
      <c r="AB46" s="44">
        <f t="shared" si="36"/>
        <v>788089</v>
      </c>
      <c r="AC46" s="44">
        <f t="shared" si="37"/>
        <v>400772.06000000006</v>
      </c>
      <c r="AD46" s="44">
        <f t="shared" si="38"/>
        <v>338564.08</v>
      </c>
      <c r="AE46" s="44">
        <f t="shared" si="39"/>
        <v>400762</v>
      </c>
      <c r="AF46" s="44">
        <f t="shared" si="40"/>
        <v>542003.16</v>
      </c>
      <c r="AG46" s="44">
        <f t="shared" si="41"/>
        <v>175450</v>
      </c>
      <c r="AI46" s="104" t="s">
        <v>0</v>
      </c>
    </row>
    <row r="47" spans="1:49" s="11" customFormat="1" ht="17" x14ac:dyDescent="0.2">
      <c r="A47" s="105" t="s">
        <v>96</v>
      </c>
      <c r="B47" s="73"/>
      <c r="C47" s="12">
        <v>356214</v>
      </c>
      <c r="D47" s="31">
        <v>511852</v>
      </c>
      <c r="E47" s="28">
        <v>429761</v>
      </c>
      <c r="F47" s="31">
        <v>495489</v>
      </c>
      <c r="G47" s="28">
        <v>485402</v>
      </c>
      <c r="H47" s="31">
        <v>479740</v>
      </c>
      <c r="I47" s="28">
        <v>527100</v>
      </c>
      <c r="J47" s="31">
        <v>622902</v>
      </c>
      <c r="K47" s="28">
        <v>543101</v>
      </c>
      <c r="L47" s="31">
        <f>293478.38+7026.6+255299.49</f>
        <v>555804.47</v>
      </c>
      <c r="M47" s="28">
        <f>283147+274504+7026</f>
        <v>564677</v>
      </c>
      <c r="N47" s="121">
        <f>7026.6+274504.74+299137.43</f>
        <v>580668.77</v>
      </c>
      <c r="O47" s="28">
        <f>306438.29+274504.74+7026.6</f>
        <v>587969.63</v>
      </c>
      <c r="P47" s="121">
        <f>278062+7026.6+341604.1</f>
        <v>626692.69999999995</v>
      </c>
      <c r="Q47" s="122">
        <f>7026.6+325858.66+363481.18</f>
        <v>696366.44</v>
      </c>
      <c r="R47" s="121">
        <v>713608</v>
      </c>
      <c r="S47" s="122">
        <f>7026.6+334367.94+385999.1</f>
        <v>727393.6399999999</v>
      </c>
      <c r="T47" s="121">
        <f>391970.26+334367.94+7026.6</f>
        <v>733364.79999999993</v>
      </c>
      <c r="U47" s="122">
        <f>334368+7027+371554+9600</f>
        <v>722549</v>
      </c>
      <c r="V47" s="121"/>
      <c r="W47" s="7"/>
      <c r="X47" s="44">
        <f t="shared" si="32"/>
        <v>868066</v>
      </c>
      <c r="Y47" s="44">
        <f t="shared" si="33"/>
        <v>925250</v>
      </c>
      <c r="Z47" s="44">
        <f t="shared" si="34"/>
        <v>965142</v>
      </c>
      <c r="AA47" s="44">
        <f t="shared" si="35"/>
        <v>1150002</v>
      </c>
      <c r="AB47" s="44">
        <f t="shared" si="36"/>
        <v>1098905.47</v>
      </c>
      <c r="AC47" s="44">
        <f t="shared" si="37"/>
        <v>1145345.77</v>
      </c>
      <c r="AD47" s="44">
        <f t="shared" si="38"/>
        <v>1214662.33</v>
      </c>
      <c r="AE47" s="44">
        <f t="shared" si="39"/>
        <v>1409974.44</v>
      </c>
      <c r="AF47" s="44">
        <f t="shared" si="40"/>
        <v>1460758.44</v>
      </c>
      <c r="AG47" s="44">
        <f t="shared" si="41"/>
        <v>722549</v>
      </c>
      <c r="AI47" s="106" t="s">
        <v>96</v>
      </c>
    </row>
    <row r="48" spans="1:49" s="11" customFormat="1" ht="17" x14ac:dyDescent="0.2">
      <c r="A48" s="107" t="s">
        <v>24</v>
      </c>
      <c r="C48" s="12">
        <v>1535707</v>
      </c>
      <c r="D48" s="31">
        <v>134315</v>
      </c>
      <c r="E48" s="28">
        <v>2128483</v>
      </c>
      <c r="F48" s="31">
        <v>370210</v>
      </c>
      <c r="G48" s="28">
        <v>510348</v>
      </c>
      <c r="H48" s="31">
        <v>1000987</v>
      </c>
      <c r="I48" s="28">
        <v>2930889</v>
      </c>
      <c r="J48" s="31">
        <v>277470</v>
      </c>
      <c r="K48" s="28">
        <f>447124.58+4052636</f>
        <v>4499760.58</v>
      </c>
      <c r="L48" s="31">
        <v>192692</v>
      </c>
      <c r="M48" s="28">
        <v>655060</v>
      </c>
      <c r="N48" s="121">
        <f>12129+1315000</f>
        <v>1327129</v>
      </c>
      <c r="O48" s="28">
        <v>543034</v>
      </c>
      <c r="P48" s="121">
        <f>522245+3606609</f>
        <v>4128854</v>
      </c>
      <c r="Q48" s="122">
        <f>1209180+1021134</f>
        <v>2230314</v>
      </c>
      <c r="R48" s="121">
        <v>58166</v>
      </c>
      <c r="S48" s="122">
        <v>386784.69</v>
      </c>
      <c r="T48" s="121">
        <f>207441+4269</f>
        <v>211710</v>
      </c>
      <c r="U48" s="122">
        <v>771848.7</v>
      </c>
      <c r="V48" s="121"/>
      <c r="X48" s="44">
        <f>C48+D48</f>
        <v>1670022</v>
      </c>
      <c r="Y48" s="44">
        <f>E48+F48</f>
        <v>2498693</v>
      </c>
      <c r="Z48" s="44">
        <f>G48+H48</f>
        <v>1511335</v>
      </c>
      <c r="AA48" s="44">
        <f>I48+J48</f>
        <v>3208359</v>
      </c>
      <c r="AB48" s="44">
        <f t="shared" si="36"/>
        <v>4692452.58</v>
      </c>
      <c r="AC48" s="44">
        <f t="shared" si="37"/>
        <v>1982189</v>
      </c>
      <c r="AD48" s="44">
        <f t="shared" si="38"/>
        <v>4671888</v>
      </c>
      <c r="AE48" s="44">
        <f t="shared" si="39"/>
        <v>2288480</v>
      </c>
      <c r="AF48" s="44">
        <f t="shared" si="40"/>
        <v>598494.68999999994</v>
      </c>
      <c r="AG48" s="44">
        <f t="shared" si="41"/>
        <v>771848.7</v>
      </c>
      <c r="AI48" s="108" t="s">
        <v>24</v>
      </c>
    </row>
    <row r="49" spans="1:35" s="49" customFormat="1" ht="17" x14ac:dyDescent="0.2">
      <c r="A49" s="70" t="s">
        <v>77</v>
      </c>
      <c r="C49" s="41"/>
      <c r="D49" s="50">
        <v>166.9</v>
      </c>
      <c r="E49" s="41"/>
      <c r="F49" s="50">
        <v>198.9</v>
      </c>
      <c r="G49" s="41"/>
      <c r="H49" s="50">
        <v>204.4</v>
      </c>
      <c r="I49" s="41"/>
      <c r="J49" s="50">
        <v>204.9</v>
      </c>
      <c r="K49" s="41"/>
      <c r="L49" s="50">
        <v>220.5</v>
      </c>
      <c r="M49" s="41"/>
      <c r="N49" s="123">
        <v>217.6</v>
      </c>
      <c r="O49" s="41"/>
      <c r="P49" s="123">
        <v>216.7</v>
      </c>
      <c r="Q49" s="130"/>
      <c r="R49" s="123">
        <v>229.1</v>
      </c>
      <c r="S49" s="130"/>
      <c r="T49" s="123">
        <v>209.17</v>
      </c>
      <c r="U49" s="130"/>
      <c r="V49" s="123"/>
      <c r="X49" s="51">
        <f>C49+D49</f>
        <v>166.9</v>
      </c>
      <c r="Y49" s="51">
        <f>E49+F49</f>
        <v>198.9</v>
      </c>
      <c r="Z49" s="51">
        <f>G49+H49</f>
        <v>204.4</v>
      </c>
      <c r="AA49" s="51">
        <f>I49+J49</f>
        <v>204.9</v>
      </c>
      <c r="AB49" s="51">
        <f t="shared" si="36"/>
        <v>220.5</v>
      </c>
      <c r="AC49" s="51">
        <f t="shared" si="37"/>
        <v>217.6</v>
      </c>
      <c r="AD49" s="51">
        <f t="shared" si="38"/>
        <v>216.7</v>
      </c>
      <c r="AE49" s="132">
        <f t="shared" si="39"/>
        <v>229.1</v>
      </c>
      <c r="AF49" s="132">
        <f t="shared" si="40"/>
        <v>209.17</v>
      </c>
      <c r="AG49" s="44">
        <f t="shared" si="41"/>
        <v>0</v>
      </c>
      <c r="AI49" s="71" t="s">
        <v>26</v>
      </c>
    </row>
    <row r="50" spans="1:35" s="11" customFormat="1" ht="17" x14ac:dyDescent="0.2">
      <c r="A50" s="107" t="s">
        <v>74</v>
      </c>
      <c r="C50" s="12">
        <f>1019575-720000</f>
        <v>299575</v>
      </c>
      <c r="D50" s="31">
        <f>1270627-1040000</f>
        <v>230627</v>
      </c>
      <c r="E50" s="28">
        <f>1045038-720000</f>
        <v>325038</v>
      </c>
      <c r="F50" s="31">
        <f>1268890-1040000</f>
        <v>228890</v>
      </c>
      <c r="G50" s="28">
        <f>1048149-720000</f>
        <v>328149</v>
      </c>
      <c r="H50" s="31">
        <f>1244930-1040000</f>
        <v>204930</v>
      </c>
      <c r="I50" s="28">
        <f>1214422-900000</f>
        <v>314422</v>
      </c>
      <c r="J50" s="31">
        <f>1089371-900000</f>
        <v>189371</v>
      </c>
      <c r="K50" s="28">
        <f>1274399-900000</f>
        <v>374399</v>
      </c>
      <c r="L50" s="31">
        <f>1085278-900000</f>
        <v>185278</v>
      </c>
      <c r="M50" s="28">
        <f>1000475.42+221909.14-900000</f>
        <v>322384.56000000006</v>
      </c>
      <c r="N50" s="121">
        <f>19977.18+130932.83+966964.74-900000+17400.15</f>
        <v>235274.9</v>
      </c>
      <c r="O50" s="28">
        <f>214171.64+1007909.57-900000+19506.3</f>
        <v>341587.50999999995</v>
      </c>
      <c r="P50" s="121">
        <f>20276.82+21441.3+968552.64-900000+82937.76</f>
        <v>193208.52000000002</v>
      </c>
      <c r="Q50" s="122">
        <f>1003516.95+144771.31-900000+30000+20576.3</f>
        <v>298864.56</v>
      </c>
      <c r="R50" s="121">
        <v>168666</v>
      </c>
      <c r="S50" s="122">
        <f>30000+108794.46+108274.72</f>
        <v>247069.18000000002</v>
      </c>
      <c r="T50" s="121">
        <f>43030+21000+134.55+71340.92+24781.3</f>
        <v>160286.76999999999</v>
      </c>
      <c r="U50" s="122">
        <f>17000+62492+21000+12805+148873</f>
        <v>262170</v>
      </c>
      <c r="V50" s="121"/>
      <c r="X50" s="44">
        <f>C50+D50</f>
        <v>530202</v>
      </c>
      <c r="Y50" s="44">
        <f>E50+F50</f>
        <v>553928</v>
      </c>
      <c r="Z50" s="44">
        <f>G50+H50</f>
        <v>533079</v>
      </c>
      <c r="AA50" s="44">
        <f>I50+J50</f>
        <v>503793</v>
      </c>
      <c r="AB50" s="44">
        <f t="shared" si="36"/>
        <v>559677</v>
      </c>
      <c r="AC50" s="44">
        <f t="shared" si="37"/>
        <v>557659.46000000008</v>
      </c>
      <c r="AD50" s="44">
        <f t="shared" si="38"/>
        <v>534796.03</v>
      </c>
      <c r="AE50" s="44">
        <f t="shared" si="39"/>
        <v>467530.56</v>
      </c>
      <c r="AF50" s="44">
        <f t="shared" si="40"/>
        <v>407355.95</v>
      </c>
      <c r="AG50" s="44">
        <f t="shared" si="41"/>
        <v>262170</v>
      </c>
      <c r="AI50" s="108" t="s">
        <v>74</v>
      </c>
    </row>
    <row r="51" spans="1:35" x14ac:dyDescent="0.2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24"/>
      <c r="O51" s="39"/>
      <c r="P51" s="124"/>
      <c r="Q51" s="124"/>
      <c r="R51" s="124"/>
      <c r="S51" s="124"/>
      <c r="T51" s="124"/>
      <c r="U51" s="124"/>
      <c r="V51" s="124"/>
      <c r="W51" s="39"/>
      <c r="X51" s="39"/>
      <c r="Y51" s="39"/>
      <c r="Z51" s="39"/>
      <c r="AA51" s="39"/>
      <c r="AB51" s="39"/>
      <c r="AC51" s="39"/>
      <c r="AD51" s="39"/>
      <c r="AE51" s="124"/>
      <c r="AF51" s="124"/>
      <c r="AG51" s="124"/>
    </row>
    <row r="52" spans="1:35" x14ac:dyDescent="0.2">
      <c r="A52" s="24" t="s">
        <v>81</v>
      </c>
      <c r="C52" s="2">
        <v>30000</v>
      </c>
      <c r="D52" s="2">
        <v>35635</v>
      </c>
      <c r="E52" s="2">
        <v>53500</v>
      </c>
      <c r="F52" s="2">
        <v>44033</v>
      </c>
      <c r="G52" s="2">
        <v>94144</v>
      </c>
      <c r="H52" s="2">
        <v>40000</v>
      </c>
      <c r="I52" s="2">
        <v>68500</v>
      </c>
      <c r="J52" s="2">
        <v>43500</v>
      </c>
      <c r="K52" s="2">
        <v>70500</v>
      </c>
      <c r="L52" s="2">
        <v>55000</v>
      </c>
      <c r="M52" s="2">
        <f>17000+56400+21000</f>
        <v>94400</v>
      </c>
      <c r="N52" s="1">
        <f>39600+21000</f>
        <v>60600</v>
      </c>
      <c r="O52" s="2">
        <f>17000+56400+21000</f>
        <v>94400</v>
      </c>
      <c r="P52" s="1">
        <v>61320</v>
      </c>
      <c r="Q52" s="1">
        <f>17000+30000+58092+21000</f>
        <v>126092</v>
      </c>
      <c r="R52" s="1">
        <v>62528</v>
      </c>
      <c r="S52" s="1">
        <f>30000+17000+59833+21000</f>
        <v>127833</v>
      </c>
      <c r="AG52" s="1"/>
    </row>
    <row r="53" spans="1:35" x14ac:dyDescent="0.2">
      <c r="AG53" s="1"/>
    </row>
    <row r="55" spans="1:35" x14ac:dyDescent="0.2">
      <c r="Q55" s="125"/>
      <c r="R55" s="125"/>
      <c r="S55" s="125"/>
      <c r="T55" s="125"/>
    </row>
    <row r="56" spans="1:35" ht="19" x14ac:dyDescent="0.25">
      <c r="A56" s="13"/>
      <c r="L56" s="37"/>
      <c r="N56" s="37"/>
      <c r="R56" s="125"/>
      <c r="T56" s="125"/>
      <c r="X56" s="109" t="s">
        <v>58</v>
      </c>
      <c r="Y56" s="109" t="s">
        <v>59</v>
      </c>
      <c r="Z56" s="109" t="s">
        <v>60</v>
      </c>
      <c r="AA56" s="109" t="s">
        <v>61</v>
      </c>
      <c r="AB56" s="109" t="s">
        <v>66</v>
      </c>
      <c r="AC56" s="109" t="s">
        <v>71</v>
      </c>
      <c r="AD56" s="109" t="s">
        <v>72</v>
      </c>
      <c r="AE56" s="109" t="s">
        <v>99</v>
      </c>
      <c r="AF56" s="109" t="s">
        <v>106</v>
      </c>
      <c r="AG56" s="109" t="s">
        <v>124</v>
      </c>
      <c r="AI56" s="110" t="s">
        <v>76</v>
      </c>
    </row>
    <row r="57" spans="1:35" x14ac:dyDescent="0.2">
      <c r="A57" s="13"/>
      <c r="L57" s="14"/>
      <c r="N57" s="14"/>
      <c r="X57" s="16">
        <f t="shared" ref="X57:AG57" si="42">X19/X10</f>
        <v>0.41350707089103639</v>
      </c>
      <c r="Y57" s="16">
        <f t="shared" si="42"/>
        <v>0.10367949664522458</v>
      </c>
      <c r="Z57" s="16">
        <f t="shared" si="42"/>
        <v>7.22016923905099E-2</v>
      </c>
      <c r="AA57" s="16">
        <f t="shared" si="42"/>
        <v>0.11466201255001277</v>
      </c>
      <c r="AB57" s="16">
        <f t="shared" si="42"/>
        <v>7.5237940590090965E-2</v>
      </c>
      <c r="AC57" s="16">
        <f t="shared" si="42"/>
        <v>0.11096645622196891</v>
      </c>
      <c r="AD57" s="16">
        <f t="shared" si="42"/>
        <v>0.17381629755108433</v>
      </c>
      <c r="AE57" s="16">
        <f t="shared" si="42"/>
        <v>4.6956592459502094E-2</v>
      </c>
      <c r="AF57" s="16">
        <f t="shared" si="42"/>
        <v>0.1091907348440217</v>
      </c>
      <c r="AG57" s="16">
        <f t="shared" si="42"/>
        <v>0.2788524655122222</v>
      </c>
      <c r="AI57" s="111" t="s">
        <v>46</v>
      </c>
    </row>
    <row r="58" spans="1:35" x14ac:dyDescent="0.2">
      <c r="A58" s="13"/>
      <c r="L58" s="14"/>
      <c r="N58" s="14"/>
      <c r="X58" s="17">
        <f t="shared" ref="X58:AG58" si="43">X10/X28</f>
        <v>0.99155198266539235</v>
      </c>
      <c r="Y58" s="17">
        <f t="shared" si="43"/>
        <v>1.1309029932111743</v>
      </c>
      <c r="Z58" s="17">
        <f t="shared" si="43"/>
        <v>1.0354064786410693</v>
      </c>
      <c r="AA58" s="17">
        <f t="shared" si="43"/>
        <v>0.95596857226428622</v>
      </c>
      <c r="AB58" s="17">
        <f t="shared" si="43"/>
        <v>1.0431223048456257</v>
      </c>
      <c r="AC58" s="17">
        <f t="shared" si="43"/>
        <v>0.79500529242610973</v>
      </c>
      <c r="AD58" s="17">
        <f t="shared" si="43"/>
        <v>0.77740870514470795</v>
      </c>
      <c r="AE58" s="17">
        <f t="shared" si="43"/>
        <v>0.79142175042654495</v>
      </c>
      <c r="AF58" s="17">
        <f t="shared" si="43"/>
        <v>0.8540529228763788</v>
      </c>
      <c r="AG58" s="17" t="e">
        <f t="shared" si="43"/>
        <v>#DIV/0!</v>
      </c>
      <c r="AI58" s="111" t="s">
        <v>47</v>
      </c>
    </row>
    <row r="59" spans="1:35" x14ac:dyDescent="0.2">
      <c r="A59" s="13"/>
      <c r="L59" s="14"/>
      <c r="N59" s="14"/>
      <c r="X59" s="16">
        <f t="shared" ref="X59:AG59" si="44">X19/X28</f>
        <v>0.41001375598816614</v>
      </c>
      <c r="Y59" s="16">
        <f t="shared" si="44"/>
        <v>0.11725145309071237</v>
      </c>
      <c r="Z59" s="16">
        <f t="shared" si="44"/>
        <v>7.4758100069983555E-2</v>
      </c>
      <c r="AA59" s="16">
        <f t="shared" si="44"/>
        <v>0.10961328043038537</v>
      </c>
      <c r="AB59" s="16">
        <f t="shared" si="44"/>
        <v>7.8482374000173952E-2</v>
      </c>
      <c r="AC59" s="16">
        <f t="shared" si="44"/>
        <v>8.8218919978235499E-2</v>
      </c>
      <c r="AD59" s="16">
        <f t="shared" si="44"/>
        <v>0.13512630281223575</v>
      </c>
      <c r="AE59" s="16">
        <f t="shared" si="44"/>
        <v>3.7162468598365049E-2</v>
      </c>
      <c r="AF59" s="16">
        <f t="shared" si="44"/>
        <v>9.3254666244556389E-2</v>
      </c>
      <c r="AG59" s="16" t="e">
        <f t="shared" si="44"/>
        <v>#DIV/0!</v>
      </c>
      <c r="AI59" s="111" t="s">
        <v>48</v>
      </c>
    </row>
    <row r="60" spans="1:35" x14ac:dyDescent="0.2">
      <c r="A60" s="13"/>
      <c r="L60" s="14"/>
      <c r="N60" s="14"/>
      <c r="X60" s="18">
        <f t="shared" ref="X60:AG60" si="45">X28/X35</f>
        <v>3.1358983294972553</v>
      </c>
      <c r="Y60" s="18">
        <f t="shared" si="45"/>
        <v>2.752338257384475</v>
      </c>
      <c r="Z60" s="18">
        <f t="shared" si="45"/>
        <v>2.934218294525794</v>
      </c>
      <c r="AA60" s="18">
        <f t="shared" si="45"/>
        <v>2.8110842116987325</v>
      </c>
      <c r="AB60" s="18">
        <f t="shared" si="45"/>
        <v>2.6280390892071015</v>
      </c>
      <c r="AC60" s="18">
        <f t="shared" si="45"/>
        <v>2.6601909384621494</v>
      </c>
      <c r="AD60" s="18">
        <f t="shared" si="45"/>
        <v>2.1882850537741825</v>
      </c>
      <c r="AE60" s="18">
        <f t="shared" si="45"/>
        <v>2.1733991535241648</v>
      </c>
      <c r="AF60" s="18">
        <f t="shared" si="45"/>
        <v>1.9410681400490692</v>
      </c>
      <c r="AG60" s="18" t="e">
        <f t="shared" si="45"/>
        <v>#DIV/0!</v>
      </c>
      <c r="AI60" s="111" t="s">
        <v>49</v>
      </c>
    </row>
    <row r="61" spans="1:35" x14ac:dyDescent="0.2">
      <c r="A61" s="13"/>
      <c r="L61" s="14"/>
      <c r="N61" s="14"/>
      <c r="X61" s="19">
        <f t="shared" ref="X61:AG61" si="46">X19/X35</f>
        <v>1.2857614524741854</v>
      </c>
      <c r="Y61" s="19">
        <f t="shared" si="46"/>
        <v>0.3227156600754888</v>
      </c>
      <c r="Z61" s="19">
        <f t="shared" si="46"/>
        <v>0.21935658488933579</v>
      </c>
      <c r="AA61" s="19">
        <f t="shared" si="46"/>
        <v>0.30813216201036198</v>
      </c>
      <c r="AB61" s="19">
        <f t="shared" si="46"/>
        <v>0.20625474668622826</v>
      </c>
      <c r="AC61" s="19">
        <f t="shared" si="46"/>
        <v>0.23467917152701956</v>
      </c>
      <c r="AD61" s="19">
        <f t="shared" si="46"/>
        <v>0.29569486881577978</v>
      </c>
      <c r="AE61" s="19">
        <f t="shared" si="46"/>
        <v>8.0768877794554952E-2</v>
      </c>
      <c r="AF61" s="19">
        <f t="shared" si="46"/>
        <v>0.1810136615582178</v>
      </c>
      <c r="AG61" s="19" t="e">
        <f t="shared" si="46"/>
        <v>#DIV/0!</v>
      </c>
      <c r="AI61" s="111" t="s">
        <v>50</v>
      </c>
    </row>
    <row r="62" spans="1:35" x14ac:dyDescent="0.2">
      <c r="A62" s="25"/>
      <c r="L62" s="20"/>
      <c r="N62" s="20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I62" s="112"/>
    </row>
    <row r="63" spans="1:35" x14ac:dyDescent="0.2">
      <c r="A63" s="13"/>
      <c r="L63" s="14"/>
      <c r="N63" s="14"/>
      <c r="X63" s="19">
        <f t="shared" ref="X63:AG63" si="47">(X19+X47+X17+X18)/X10</f>
        <v>0.47938768421290762</v>
      </c>
      <c r="Y63" s="19">
        <f t="shared" si="47"/>
        <v>0.15365308884807427</v>
      </c>
      <c r="Z63" s="19">
        <f t="shared" si="47"/>
        <v>0.12597456734377202</v>
      </c>
      <c r="AA63" s="19">
        <f t="shared" si="47"/>
        <v>0.17392897185538453</v>
      </c>
      <c r="AB63" s="19">
        <f t="shared" si="47"/>
        <v>0.14004820447672828</v>
      </c>
      <c r="AC63" s="164">
        <f t="shared" si="47"/>
        <v>0.16365621456258023</v>
      </c>
      <c r="AD63" s="164">
        <f t="shared" si="47"/>
        <v>0.22655507938555602</v>
      </c>
      <c r="AE63" s="164">
        <f t="shared" si="47"/>
        <v>0.11350819171147646</v>
      </c>
      <c r="AF63" s="164">
        <f t="shared" si="47"/>
        <v>0.18134088962276912</v>
      </c>
      <c r="AG63" s="163">
        <f t="shared" si="47"/>
        <v>0.31093909256263097</v>
      </c>
      <c r="AI63" s="111" t="s">
        <v>51</v>
      </c>
    </row>
    <row r="64" spans="1:35" x14ac:dyDescent="0.2">
      <c r="A64" s="13"/>
      <c r="L64" s="14"/>
      <c r="N64" s="14"/>
      <c r="X64" s="19">
        <f t="shared" ref="X64:AG64" si="48">X16/X10</f>
        <v>0.4379575403858304</v>
      </c>
      <c r="Y64" s="19">
        <f t="shared" si="48"/>
        <v>0.11811557984751116</v>
      </c>
      <c r="Z64" s="19">
        <f t="shared" si="48"/>
        <v>8.992726126309776E-2</v>
      </c>
      <c r="AA64" s="19">
        <f t="shared" si="48"/>
        <v>0.13408913189070407</v>
      </c>
      <c r="AB64" s="19">
        <f t="shared" si="48"/>
        <v>0.10734639113107194</v>
      </c>
      <c r="AC64" s="19">
        <f t="shared" si="48"/>
        <v>0.13062525790632903</v>
      </c>
      <c r="AD64" s="19">
        <f t="shared" si="48"/>
        <v>0.19393083537255351</v>
      </c>
      <c r="AE64" s="19">
        <f t="shared" si="48"/>
        <v>7.8296745595593645E-2</v>
      </c>
      <c r="AF64" s="19">
        <f t="shared" si="48"/>
        <v>0.14708985849935388</v>
      </c>
      <c r="AG64" s="19">
        <f t="shared" si="48"/>
        <v>0.29258609075999314</v>
      </c>
      <c r="AI64" s="111" t="s">
        <v>52</v>
      </c>
    </row>
    <row r="65" spans="1:35" x14ac:dyDescent="0.2">
      <c r="A65" s="13"/>
      <c r="L65" s="14"/>
      <c r="N65" s="14"/>
      <c r="X65" s="19">
        <f t="shared" ref="X65:AG65" si="49">(X16-X17)/X16</f>
        <v>0.95365263725144567</v>
      </c>
      <c r="Y65" s="19">
        <f t="shared" si="49"/>
        <v>0.90221322419503891</v>
      </c>
      <c r="Z65" s="19">
        <f t="shared" si="49"/>
        <v>0.83661282505053491</v>
      </c>
      <c r="AA65" s="19">
        <f t="shared" si="49"/>
        <v>0.88141168981185447</v>
      </c>
      <c r="AB65" s="19">
        <f t="shared" si="49"/>
        <v>0.74052340061739486</v>
      </c>
      <c r="AC65" s="19">
        <f t="shared" si="49"/>
        <v>0.88337307392268449</v>
      </c>
      <c r="AD65" s="19">
        <f t="shared" si="49"/>
        <v>0.92212469645360629</v>
      </c>
      <c r="AE65" s="19">
        <f t="shared" si="49"/>
        <v>0.66680308887784001</v>
      </c>
      <c r="AF65" s="19">
        <f t="shared" si="49"/>
        <v>0.77970067593367143</v>
      </c>
      <c r="AG65" s="19">
        <f t="shared" si="49"/>
        <v>0.95321760111315446</v>
      </c>
      <c r="AI65" s="111" t="s">
        <v>84</v>
      </c>
    </row>
    <row r="66" spans="1:35" x14ac:dyDescent="0.2">
      <c r="A66" s="13"/>
      <c r="L66" s="14"/>
      <c r="N66" s="14"/>
      <c r="X66" s="21">
        <f t="shared" ref="X66:AG66" si="50">X19/(X16-X17)</f>
        <v>0.99005818409448865</v>
      </c>
      <c r="Y66" s="21">
        <f t="shared" si="50"/>
        <v>0.97291859792886992</v>
      </c>
      <c r="Z66" s="21">
        <f t="shared" si="50"/>
        <v>0.95969115549604911</v>
      </c>
      <c r="AA66" s="21">
        <f t="shared" si="50"/>
        <v>0.97016851220393707</v>
      </c>
      <c r="AB66" s="21">
        <f t="shared" si="50"/>
        <v>0.94647830634784558</v>
      </c>
      <c r="AC66" s="21">
        <f t="shared" si="50"/>
        <v>0.96165744564244693</v>
      </c>
      <c r="AD66" s="21">
        <f t="shared" si="50"/>
        <v>0.97197248986262264</v>
      </c>
      <c r="AE66" s="21">
        <f t="shared" si="50"/>
        <v>0.89940492133521288</v>
      </c>
      <c r="AF66" s="21">
        <f t="shared" si="50"/>
        <v>0.9520837392920185</v>
      </c>
      <c r="AG66" s="21">
        <f t="shared" si="50"/>
        <v>0.99983597585355821</v>
      </c>
      <c r="AI66" s="111" t="s">
        <v>85</v>
      </c>
    </row>
    <row r="67" spans="1:35" x14ac:dyDescent="0.2">
      <c r="A67" s="13"/>
      <c r="L67" s="14"/>
      <c r="N67" s="14"/>
      <c r="X67" s="19">
        <f t="shared" ref="X67:AG67" si="51">X64*X58*X60*X65*X66</f>
        <v>1.2857614524741854</v>
      </c>
      <c r="Y67" s="19">
        <f t="shared" si="51"/>
        <v>0.32271566007548885</v>
      </c>
      <c r="Z67" s="19">
        <f t="shared" si="51"/>
        <v>0.21935658488933574</v>
      </c>
      <c r="AA67" s="19">
        <f t="shared" si="51"/>
        <v>0.30813216201036203</v>
      </c>
      <c r="AB67" s="19">
        <f t="shared" si="51"/>
        <v>0.20625474668622826</v>
      </c>
      <c r="AC67" s="19">
        <f t="shared" si="51"/>
        <v>0.23467917152701956</v>
      </c>
      <c r="AD67" s="19">
        <f t="shared" si="51"/>
        <v>0.29569486881577978</v>
      </c>
      <c r="AE67" s="19">
        <f t="shared" si="51"/>
        <v>8.0768877794554952E-2</v>
      </c>
      <c r="AF67" s="19">
        <f t="shared" si="51"/>
        <v>0.18101366155821774</v>
      </c>
      <c r="AG67" s="19" t="e">
        <f t="shared" si="51"/>
        <v>#DIV/0!</v>
      </c>
      <c r="AI67" s="111" t="s">
        <v>86</v>
      </c>
    </row>
    <row r="68" spans="1:35" x14ac:dyDescent="0.2">
      <c r="A68" s="25"/>
      <c r="L68" s="20"/>
      <c r="N68" s="20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I68" s="112"/>
    </row>
    <row r="69" spans="1:35" x14ac:dyDescent="0.2">
      <c r="A69" s="13"/>
      <c r="L69" s="14"/>
      <c r="N69" s="14"/>
      <c r="X69" s="19">
        <f t="shared" ref="X69:AG69" si="52">X38/X10</f>
        <v>0.29428163731315971</v>
      </c>
      <c r="Y69" s="19">
        <f t="shared" si="52"/>
        <v>0.32441330194023466</v>
      </c>
      <c r="Z69" s="19">
        <f t="shared" si="52"/>
        <v>0.32571913711188222</v>
      </c>
      <c r="AA69" s="19">
        <f t="shared" si="52"/>
        <v>0.30537710837262921</v>
      </c>
      <c r="AB69" s="19">
        <f t="shared" si="52"/>
        <v>0.28191639790447087</v>
      </c>
      <c r="AC69" s="19">
        <f t="shared" si="52"/>
        <v>0.30343080237805692</v>
      </c>
      <c r="AD69" s="19">
        <f t="shared" si="52"/>
        <v>0.25866094173815807</v>
      </c>
      <c r="AE69" s="19">
        <f t="shared" si="52"/>
        <v>0.28972311574017184</v>
      </c>
      <c r="AF69" s="19">
        <f t="shared" si="52"/>
        <v>0.3070724464754257</v>
      </c>
      <c r="AG69" s="19">
        <f t="shared" si="52"/>
        <v>0.19195938345919167</v>
      </c>
      <c r="AI69" s="111" t="s">
        <v>53</v>
      </c>
    </row>
    <row r="70" spans="1:35" x14ac:dyDescent="0.2">
      <c r="A70" s="13"/>
      <c r="L70" s="14"/>
      <c r="N70" s="14"/>
      <c r="X70" s="19">
        <f t="shared" ref="X70:AG70" si="53">X45/X10</f>
        <v>0.11409649826402758</v>
      </c>
      <c r="Y70" s="19">
        <f t="shared" si="53"/>
        <v>0.11448725345658302</v>
      </c>
      <c r="Z70" s="19">
        <f t="shared" si="53"/>
        <v>0.11255362069553447</v>
      </c>
      <c r="AA70" s="19">
        <f t="shared" si="53"/>
        <v>0.11794135450647393</v>
      </c>
      <c r="AB70" s="19">
        <f t="shared" si="53"/>
        <v>0.1235829089836139</v>
      </c>
      <c r="AC70" s="19">
        <f t="shared" si="53"/>
        <v>9.4264665566258066E-2</v>
      </c>
      <c r="AD70" s="19">
        <f t="shared" si="53"/>
        <v>0.11292444093012403</v>
      </c>
      <c r="AE70" s="19">
        <f t="shared" si="53"/>
        <v>0.16947773023570056</v>
      </c>
      <c r="AF70" s="19">
        <f t="shared" si="53"/>
        <v>7.7120060296735432E-2</v>
      </c>
      <c r="AG70" s="19">
        <f t="shared" si="53"/>
        <v>6.4817938249550219E-2</v>
      </c>
      <c r="AI70" s="111" t="s">
        <v>54</v>
      </c>
    </row>
    <row r="71" spans="1:35" x14ac:dyDescent="0.2">
      <c r="A71" s="13"/>
      <c r="L71" s="14"/>
      <c r="N71" s="14"/>
      <c r="X71" s="19">
        <f t="shared" ref="X71:AG71" si="54">X46/X10</f>
        <v>1.4182186755370068E-2</v>
      </c>
      <c r="Y71" s="19">
        <f t="shared" si="54"/>
        <v>3.3775975845017826E-2</v>
      </c>
      <c r="Z71" s="19">
        <f t="shared" si="54"/>
        <v>3.6538878657483585E-2</v>
      </c>
      <c r="AA71" s="19">
        <f t="shared" si="54"/>
        <v>2.572271422606846E-2</v>
      </c>
      <c r="AB71" s="19">
        <f t="shared" si="54"/>
        <v>2.3452371547267838E-2</v>
      </c>
      <c r="AC71" s="19">
        <f t="shared" si="54"/>
        <v>1.1557980908155362E-2</v>
      </c>
      <c r="AD71" s="19">
        <f t="shared" si="54"/>
        <v>9.0933890737829315E-3</v>
      </c>
      <c r="AE71" s="19">
        <f t="shared" si="54"/>
        <v>1.0008273318978342E-2</v>
      </c>
      <c r="AF71" s="19">
        <f t="shared" si="54"/>
        <v>1.2708581099931501E-2</v>
      </c>
      <c r="AG71" s="19">
        <f t="shared" si="54"/>
        <v>4.4564924541765517E-3</v>
      </c>
      <c r="AI71" s="111" t="s">
        <v>55</v>
      </c>
    </row>
    <row r="72" spans="1:35" x14ac:dyDescent="0.2">
      <c r="A72" s="13"/>
      <c r="L72" s="14"/>
      <c r="N72" s="14"/>
      <c r="X72" s="19">
        <f t="shared" ref="X72:AG72" si="55">X47/X10</f>
        <v>4.1430143827077236E-2</v>
      </c>
      <c r="Y72" s="19">
        <f t="shared" si="55"/>
        <v>3.5537509000563107E-2</v>
      </c>
      <c r="Z72" s="19">
        <f t="shared" si="55"/>
        <v>3.6047306080674253E-2</v>
      </c>
      <c r="AA72" s="19">
        <f t="shared" si="55"/>
        <v>3.9839839964680483E-2</v>
      </c>
      <c r="AB72" s="19">
        <f t="shared" si="55"/>
        <v>3.2701813345656382E-2</v>
      </c>
      <c r="AC72" s="19">
        <f t="shared" si="55"/>
        <v>3.3030956656251186E-2</v>
      </c>
      <c r="AD72" s="19">
        <f t="shared" si="55"/>
        <v>3.2624244013002554E-2</v>
      </c>
      <c r="AE72" s="19">
        <f t="shared" si="55"/>
        <v>3.5211446115882811E-2</v>
      </c>
      <c r="AF72" s="19">
        <f t="shared" si="55"/>
        <v>3.4251031123415258E-2</v>
      </c>
      <c r="AG72" s="19">
        <f t="shared" si="55"/>
        <v>1.8353001802637863E-2</v>
      </c>
      <c r="AI72" s="111" t="s">
        <v>56</v>
      </c>
    </row>
    <row r="73" spans="1:35" x14ac:dyDescent="0.2">
      <c r="A73" s="26"/>
      <c r="L73" s="14"/>
      <c r="N73" s="14"/>
      <c r="X73" s="19">
        <f t="shared" ref="X73:AG73" si="56">X48/X10</f>
        <v>7.9705058894580808E-2</v>
      </c>
      <c r="Y73" s="19">
        <f t="shared" si="56"/>
        <v>9.5971169929363997E-2</v>
      </c>
      <c r="Z73" s="19">
        <f t="shared" si="56"/>
        <v>5.644719153806986E-2</v>
      </c>
      <c r="AA73" s="19">
        <f t="shared" si="56"/>
        <v>0.11114807548964464</v>
      </c>
      <c r="AB73" s="19">
        <f t="shared" si="56"/>
        <v>0.13964049920008473</v>
      </c>
      <c r="AC73" s="19">
        <f t="shared" si="56"/>
        <v>5.7164919676175943E-2</v>
      </c>
      <c r="AD73" s="19">
        <f t="shared" si="56"/>
        <v>0.12548081087969401</v>
      </c>
      <c r="AE73" s="19">
        <f t="shared" si="56"/>
        <v>5.7150461683032706E-2</v>
      </c>
      <c r="AF73" s="19">
        <f t="shared" si="56"/>
        <v>1.4033162289576616E-2</v>
      </c>
      <c r="AG73" s="19">
        <f t="shared" si="56"/>
        <v>1.9605231731638532E-2</v>
      </c>
      <c r="AI73" s="111" t="s">
        <v>57</v>
      </c>
    </row>
    <row r="74" spans="1:35" x14ac:dyDescent="0.2">
      <c r="A74" s="26"/>
      <c r="L74" s="14"/>
      <c r="N74" s="14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I74" s="111"/>
    </row>
    <row r="75" spans="1:35" x14ac:dyDescent="0.2">
      <c r="A75" s="26"/>
      <c r="X75" s="18">
        <f t="shared" ref="X75:AG75" si="57">X49</f>
        <v>166.9</v>
      </c>
      <c r="Y75" s="18">
        <f t="shared" si="57"/>
        <v>198.9</v>
      </c>
      <c r="Z75" s="18">
        <f t="shared" si="57"/>
        <v>204.4</v>
      </c>
      <c r="AA75" s="18">
        <f t="shared" si="57"/>
        <v>204.9</v>
      </c>
      <c r="AB75" s="18">
        <f t="shared" si="57"/>
        <v>220.5</v>
      </c>
      <c r="AC75" s="18">
        <f t="shared" si="57"/>
        <v>217.6</v>
      </c>
      <c r="AD75" s="18">
        <f t="shared" si="57"/>
        <v>216.7</v>
      </c>
      <c r="AE75" s="18">
        <f t="shared" si="57"/>
        <v>229.1</v>
      </c>
      <c r="AF75" s="18">
        <f t="shared" si="57"/>
        <v>209.17</v>
      </c>
      <c r="AG75" s="18">
        <f t="shared" si="57"/>
        <v>0</v>
      </c>
      <c r="AI75" s="111" t="s">
        <v>26</v>
      </c>
    </row>
    <row r="76" spans="1:35" x14ac:dyDescent="0.2">
      <c r="A76" s="26"/>
      <c r="X76" s="113">
        <f t="shared" ref="X76:AG76" si="58">X10/X49</f>
        <v>125539.37687237866</v>
      </c>
      <c r="Y76" s="113">
        <f t="shared" si="58"/>
        <v>130899.30115635997</v>
      </c>
      <c r="Z76" s="113">
        <f t="shared" si="58"/>
        <v>130989.80919765166</v>
      </c>
      <c r="AA76" s="113">
        <f t="shared" si="58"/>
        <v>140876.66178623718</v>
      </c>
      <c r="AB76" s="113">
        <f t="shared" si="58"/>
        <v>152398.22403628117</v>
      </c>
      <c r="AC76" s="113">
        <f t="shared" si="58"/>
        <v>159351.65307904413</v>
      </c>
      <c r="AD76" s="113">
        <f t="shared" si="58"/>
        <v>171813.06880479926</v>
      </c>
      <c r="AE76" s="113">
        <f t="shared" si="58"/>
        <v>174784.24744652992</v>
      </c>
      <c r="AF76" s="113">
        <f t="shared" si="58"/>
        <v>203894.42792943542</v>
      </c>
      <c r="AG76" s="113" t="e">
        <f t="shared" si="58"/>
        <v>#DIV/0!</v>
      </c>
      <c r="AI76" s="111" t="s">
        <v>87</v>
      </c>
    </row>
    <row r="77" spans="1:35" x14ac:dyDescent="0.2">
      <c r="A77" s="26"/>
      <c r="X77" s="113">
        <f t="shared" ref="X77:AG77" si="59">X19/X49</f>
        <v>51911.420011983224</v>
      </c>
      <c r="Y77" s="113">
        <f t="shared" si="59"/>
        <v>13571.573655103066</v>
      </c>
      <c r="Z77" s="113">
        <f t="shared" si="59"/>
        <v>9457.6859099804296</v>
      </c>
      <c r="AA77" s="113">
        <f t="shared" si="59"/>
        <v>16153.201561737433</v>
      </c>
      <c r="AB77" s="113">
        <f t="shared" si="59"/>
        <v>11466.128526077096</v>
      </c>
      <c r="AC77" s="113">
        <f t="shared" si="59"/>
        <v>17682.688235294125</v>
      </c>
      <c r="AD77" s="113">
        <f t="shared" si="59"/>
        <v>29863.911490539915</v>
      </c>
      <c r="AE77" s="113">
        <f t="shared" si="59"/>
        <v>8207.2726756874745</v>
      </c>
      <c r="AF77" s="113">
        <f t="shared" si="59"/>
        <v>22263.382416216471</v>
      </c>
      <c r="AG77" s="113" t="e">
        <f t="shared" si="59"/>
        <v>#DIV/0!</v>
      </c>
      <c r="AI77" s="111" t="s">
        <v>88</v>
      </c>
    </row>
    <row r="78" spans="1:35" x14ac:dyDescent="0.2">
      <c r="A78" s="26"/>
      <c r="X78" s="19">
        <f t="shared" ref="X78:AG78" si="60">X50/X10</f>
        <v>2.5304925106390534E-2</v>
      </c>
      <c r="Y78" s="19">
        <f t="shared" si="60"/>
        <v>2.1275570154729986E-2</v>
      </c>
      <c r="Z78" s="19">
        <f t="shared" si="60"/>
        <v>1.9910087715776278E-2</v>
      </c>
      <c r="AA78" s="19">
        <f t="shared" si="60"/>
        <v>1.745304138195088E-2</v>
      </c>
      <c r="AB78" s="19">
        <f t="shared" si="60"/>
        <v>1.6655165787696848E-2</v>
      </c>
      <c r="AC78" s="19">
        <f t="shared" si="60"/>
        <v>1.6082501838906207E-2</v>
      </c>
      <c r="AD78" s="19">
        <f t="shared" si="60"/>
        <v>1.4363923000645812E-2</v>
      </c>
      <c r="AE78" s="19">
        <f t="shared" si="60"/>
        <v>1.1675691880604954E-2</v>
      </c>
      <c r="AF78" s="19">
        <f t="shared" si="60"/>
        <v>9.5514500821630658E-3</v>
      </c>
      <c r="AG78" s="19">
        <f t="shared" si="60"/>
        <v>6.6592113235193302E-3</v>
      </c>
      <c r="AI78" s="111" t="s">
        <v>75</v>
      </c>
    </row>
    <row r="79" spans="1:35" x14ac:dyDescent="0.2">
      <c r="A79" s="26"/>
      <c r="X79" s="17">
        <f t="shared" ref="X79:AG79" si="61">(X16+X50)/(X17+X50)</f>
        <v>10.158573521716379</v>
      </c>
      <c r="Y79" s="17">
        <f t="shared" si="61"/>
        <v>4.2464014340440368</v>
      </c>
      <c r="Z79" s="17">
        <f t="shared" si="61"/>
        <v>3.174210149675166</v>
      </c>
      <c r="AA79" s="17">
        <f t="shared" si="61"/>
        <v>4.543387650771658</v>
      </c>
      <c r="AB79" s="17">
        <f t="shared" si="61"/>
        <v>2.7859857339302829</v>
      </c>
      <c r="AC79" s="17">
        <f t="shared" si="61"/>
        <v>4.6846158679383771</v>
      </c>
      <c r="AD79" s="17">
        <f t="shared" si="61"/>
        <v>7.0689036465449711</v>
      </c>
      <c r="AE79" s="17">
        <f t="shared" si="61"/>
        <v>2.3824969436911485</v>
      </c>
      <c r="AF79" s="17">
        <f t="shared" si="61"/>
        <v>3.7335332693519296</v>
      </c>
      <c r="AG79" s="17">
        <f t="shared" si="61"/>
        <v>14.707031535512034</v>
      </c>
      <c r="AI79" s="114" t="s">
        <v>89</v>
      </c>
    </row>
    <row r="80" spans="1:35" x14ac:dyDescent="0.2"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I80" s="111"/>
    </row>
    <row r="81" spans="1:38" x14ac:dyDescent="0.2">
      <c r="X81" s="43">
        <f t="shared" ref="X81:AG81" si="62">X16/X84</f>
        <v>0.53799868668803752</v>
      </c>
      <c r="Y81" s="43">
        <f t="shared" si="62"/>
        <v>0.1595232670774607</v>
      </c>
      <c r="Z81" s="43">
        <f t="shared" si="62"/>
        <v>0.10710235740831922</v>
      </c>
      <c r="AA81" s="43">
        <f t="shared" si="62"/>
        <v>0.15251643854638716</v>
      </c>
      <c r="AB81" s="43">
        <f t="shared" si="62"/>
        <v>0.1300795485487958</v>
      </c>
      <c r="AC81" s="43">
        <f t="shared" si="62"/>
        <v>0.12735129020846495</v>
      </c>
      <c r="AD81" s="43">
        <f t="shared" si="62"/>
        <v>0.18622699580308222</v>
      </c>
      <c r="AE81" s="43">
        <f t="shared" si="62"/>
        <v>7.7197604495296737E-2</v>
      </c>
      <c r="AF81" s="43">
        <f t="shared" si="62"/>
        <v>0.13923862579916979</v>
      </c>
      <c r="AG81" s="43" t="e">
        <f t="shared" si="62"/>
        <v>#DIV/0!</v>
      </c>
      <c r="AI81" s="111" t="s">
        <v>90</v>
      </c>
      <c r="AJ81" s="146"/>
    </row>
    <row r="82" spans="1:38" x14ac:dyDescent="0.2">
      <c r="X82" s="43">
        <f t="shared" ref="X82:AG82" si="63">X64*X85</f>
        <v>0.53799868668803752</v>
      </c>
      <c r="Y82" s="43">
        <f t="shared" si="63"/>
        <v>0.1595232670774607</v>
      </c>
      <c r="Z82" s="43">
        <f t="shared" si="63"/>
        <v>0.10710235740831921</v>
      </c>
      <c r="AA82" s="43">
        <f t="shared" si="63"/>
        <v>0.15251643854638719</v>
      </c>
      <c r="AB82" s="43">
        <f t="shared" si="63"/>
        <v>0.1300795485487958</v>
      </c>
      <c r="AC82" s="43">
        <f t="shared" si="63"/>
        <v>0.12735129020846495</v>
      </c>
      <c r="AD82" s="43">
        <f t="shared" si="63"/>
        <v>0.18622699580308222</v>
      </c>
      <c r="AE82" s="43">
        <f t="shared" si="63"/>
        <v>7.7197604495296737E-2</v>
      </c>
      <c r="AF82" s="43">
        <f t="shared" si="63"/>
        <v>0.13923862579916976</v>
      </c>
      <c r="AG82" s="43" t="e">
        <f t="shared" si="63"/>
        <v>#DIV/0!</v>
      </c>
      <c r="AI82" s="114" t="s">
        <v>91</v>
      </c>
    </row>
    <row r="83" spans="1:38" ht="16" customHeight="1" x14ac:dyDescent="0.2">
      <c r="A83" s="26"/>
      <c r="X83" s="43">
        <f t="shared" ref="X83:AG83" si="64">X16/(X29+X32+X35)</f>
        <v>0.53799868668803752</v>
      </c>
      <c r="Y83" s="43">
        <f t="shared" si="64"/>
        <v>0.15952326707746067</v>
      </c>
      <c r="Z83" s="43">
        <f t="shared" si="64"/>
        <v>0.10710235740831922</v>
      </c>
      <c r="AA83" s="43">
        <f t="shared" si="64"/>
        <v>0.15179566424825397</v>
      </c>
      <c r="AB83" s="43">
        <f t="shared" si="64"/>
        <v>0.12996530729735201</v>
      </c>
      <c r="AC83" s="43">
        <f t="shared" si="64"/>
        <v>0.12076461806460613</v>
      </c>
      <c r="AD83" s="43">
        <f t="shared" si="64"/>
        <v>0.17793904183417547</v>
      </c>
      <c r="AE83" s="43">
        <f t="shared" si="64"/>
        <v>7.4078716935651601E-2</v>
      </c>
      <c r="AF83" s="43">
        <f t="shared" si="64"/>
        <v>0.13738879330936196</v>
      </c>
      <c r="AG83" s="43" t="e">
        <f t="shared" si="64"/>
        <v>#DIV/0!</v>
      </c>
      <c r="AI83" s="111" t="s">
        <v>92</v>
      </c>
      <c r="AL83"/>
    </row>
    <row r="84" spans="1:38" x14ac:dyDescent="0.2">
      <c r="X84" s="113">
        <f t="shared" ref="X84:AG84" si="65">(X22)+((X23+X24+X25)-(X30+X31))+X26</f>
        <v>17056389.219999999</v>
      </c>
      <c r="Y84" s="113">
        <f t="shared" si="65"/>
        <v>19277701.969999999</v>
      </c>
      <c r="Z84" s="113">
        <f t="shared" si="65"/>
        <v>22480747</v>
      </c>
      <c r="AA84" s="113">
        <f t="shared" si="65"/>
        <v>25378031.619999997</v>
      </c>
      <c r="AB84" s="113">
        <f t="shared" si="65"/>
        <v>27731089.169999998</v>
      </c>
      <c r="AC84" s="113">
        <f t="shared" si="65"/>
        <v>35566348.189999998</v>
      </c>
      <c r="AD84" s="113">
        <f t="shared" si="65"/>
        <v>38772101.160000004</v>
      </c>
      <c r="AE84" s="113">
        <f t="shared" si="65"/>
        <v>40613205.170000002</v>
      </c>
      <c r="AF84" s="113">
        <f t="shared" si="65"/>
        <v>45053419.149999999</v>
      </c>
      <c r="AG84" s="113">
        <f t="shared" si="65"/>
        <v>0</v>
      </c>
      <c r="AI84" s="114" t="s">
        <v>107</v>
      </c>
    </row>
    <row r="85" spans="1:38" x14ac:dyDescent="0.2">
      <c r="X85" s="17">
        <f t="shared" ref="X85:AG85" si="66">X10/X84</f>
        <v>1.2284265872305182</v>
      </c>
      <c r="Y85" s="17">
        <f t="shared" si="66"/>
        <v>1.3505692245121892</v>
      </c>
      <c r="Z85" s="17">
        <f t="shared" si="66"/>
        <v>1.190988760293419</v>
      </c>
      <c r="AA85" s="17">
        <f t="shared" si="66"/>
        <v>1.1374258032388724</v>
      </c>
      <c r="AB85" s="17">
        <f t="shared" si="66"/>
        <v>1.2117738396064592</v>
      </c>
      <c r="AC85" s="17">
        <f t="shared" si="66"/>
        <v>0.97493618194260845</v>
      </c>
      <c r="AD85" s="17">
        <f t="shared" si="66"/>
        <v>0.96027532416558858</v>
      </c>
      <c r="AE85" s="17">
        <f t="shared" si="66"/>
        <v>0.98596185458366281</v>
      </c>
      <c r="AF85" s="17">
        <f t="shared" si="66"/>
        <v>0.94662288222801849</v>
      </c>
      <c r="AG85" s="17" t="e">
        <f t="shared" si="66"/>
        <v>#DIV/0!</v>
      </c>
      <c r="AI85" s="114" t="s">
        <v>93</v>
      </c>
    </row>
    <row r="86" spans="1:38" x14ac:dyDescent="0.2">
      <c r="X86" s="115">
        <f t="shared" ref="X86:AG86" si="67">X84/X35</f>
        <v>2.5312104429945927</v>
      </c>
      <c r="Y86" s="115">
        <f t="shared" si="67"/>
        <v>2.3046782920216304</v>
      </c>
      <c r="Z86" s="115">
        <f t="shared" si="67"/>
        <v>2.5509129331755154</v>
      </c>
      <c r="AA86" s="115">
        <f t="shared" si="67"/>
        <v>2.3626228213920237</v>
      </c>
      <c r="AB86" s="115">
        <f t="shared" si="67"/>
        <v>2.2622754365190851</v>
      </c>
      <c r="AC86" s="115">
        <f t="shared" si="67"/>
        <v>2.1692351910946766</v>
      </c>
      <c r="AD86" s="115">
        <f t="shared" si="67"/>
        <v>1.7715667656255984</v>
      </c>
      <c r="AE86" s="115">
        <f t="shared" si="67"/>
        <v>1.7445658312856265</v>
      </c>
      <c r="AF86" s="115">
        <f t="shared" si="67"/>
        <v>1.7512516860033034</v>
      </c>
      <c r="AG86" s="115" t="e">
        <f t="shared" si="67"/>
        <v>#DIV/0!</v>
      </c>
      <c r="AI86" s="114" t="s">
        <v>108</v>
      </c>
    </row>
    <row r="87" spans="1:38" x14ac:dyDescent="0.2">
      <c r="X87" s="115">
        <f t="shared" ref="X87:AG87" si="68">X82*X86*X65*X66</f>
        <v>1.2857614524741856</v>
      </c>
      <c r="Y87" s="115">
        <f t="shared" si="68"/>
        <v>0.3227156600754888</v>
      </c>
      <c r="Z87" s="115">
        <f t="shared" si="68"/>
        <v>0.21935658488933574</v>
      </c>
      <c r="AA87" s="115">
        <f t="shared" si="68"/>
        <v>0.30813216201036203</v>
      </c>
      <c r="AB87" s="115">
        <f t="shared" si="68"/>
        <v>0.20625474668622823</v>
      </c>
      <c r="AC87" s="115">
        <f t="shared" si="68"/>
        <v>0.23467917152701956</v>
      </c>
      <c r="AD87" s="115">
        <f t="shared" si="68"/>
        <v>0.29569486881577978</v>
      </c>
      <c r="AE87" s="115">
        <f t="shared" si="68"/>
        <v>8.0768877794554952E-2</v>
      </c>
      <c r="AF87" s="115">
        <f t="shared" si="68"/>
        <v>0.18101366155821777</v>
      </c>
      <c r="AG87" s="115" t="e">
        <f t="shared" si="68"/>
        <v>#DIV/0!</v>
      </c>
      <c r="AI87" s="114" t="s">
        <v>94</v>
      </c>
    </row>
    <row r="88" spans="1:38" x14ac:dyDescent="0.2"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I88" s="114"/>
    </row>
    <row r="89" spans="1:38" s="148" customFormat="1" x14ac:dyDescent="0.2">
      <c r="A89" s="147"/>
      <c r="L89" s="149"/>
      <c r="N89" s="149"/>
      <c r="P89" s="149"/>
      <c r="S89" s="149"/>
      <c r="T89" s="149"/>
      <c r="U89" s="149"/>
      <c r="V89" s="149"/>
      <c r="X89" s="150">
        <f t="shared" ref="X89:AG89" si="69">(X23+X24+X25)-(X30+X31)</f>
        <v>1519276.4699999993</v>
      </c>
      <c r="Y89" s="150">
        <f t="shared" si="69"/>
        <v>2108080.62</v>
      </c>
      <c r="Z89" s="150">
        <f t="shared" si="69"/>
        <v>2533340.1399999992</v>
      </c>
      <c r="AA89" s="150">
        <f t="shared" si="69"/>
        <v>2524853.9899999993</v>
      </c>
      <c r="AB89" s="151">
        <f t="shared" si="69"/>
        <v>4382933.6899999995</v>
      </c>
      <c r="AC89" s="151">
        <f t="shared" si="69"/>
        <v>3502243.870000001</v>
      </c>
      <c r="AD89" s="151">
        <f t="shared" si="69"/>
        <v>2381267.3600000003</v>
      </c>
      <c r="AE89" s="151">
        <f t="shared" si="69"/>
        <v>4930418.5000000019</v>
      </c>
      <c r="AF89" s="151">
        <f t="shared" si="69"/>
        <v>12264177.149999999</v>
      </c>
      <c r="AG89" s="151">
        <f t="shared" si="69"/>
        <v>0</v>
      </c>
      <c r="AH89" s="152"/>
      <c r="AI89" s="153" t="s">
        <v>121</v>
      </c>
    </row>
    <row r="90" spans="1:38" s="148" customFormat="1" x14ac:dyDescent="0.2">
      <c r="A90" s="147"/>
      <c r="L90" s="149"/>
      <c r="N90" s="149"/>
      <c r="P90" s="149"/>
      <c r="S90" s="149"/>
      <c r="T90" s="149"/>
      <c r="U90" s="149"/>
      <c r="V90" s="149"/>
      <c r="X90" s="151">
        <f t="shared" ref="X90:AG90" si="70">(X23+X24)-(X11/6)</f>
        <v>3495945.3499999996</v>
      </c>
      <c r="Y90" s="151">
        <f t="shared" si="70"/>
        <v>2020416.3499999996</v>
      </c>
      <c r="Z90" s="151">
        <f t="shared" si="70"/>
        <v>1590646.603333333</v>
      </c>
      <c r="AA90" s="151">
        <f t="shared" si="70"/>
        <v>3222346.0466666664</v>
      </c>
      <c r="AB90" s="151">
        <f t="shared" si="70"/>
        <v>3937587.3633333324</v>
      </c>
      <c r="AC90" s="151">
        <f t="shared" si="70"/>
        <v>5967653.4083333351</v>
      </c>
      <c r="AD90" s="151">
        <f t="shared" si="70"/>
        <v>5664293.6549999993</v>
      </c>
      <c r="AE90" s="151">
        <f t="shared" si="70"/>
        <v>8871670.6683333348</v>
      </c>
      <c r="AF90" s="151">
        <f t="shared" si="70"/>
        <v>12229483.449999999</v>
      </c>
      <c r="AG90" s="151">
        <f t="shared" si="70"/>
        <v>-3569786.1666666665</v>
      </c>
      <c r="AH90" s="152"/>
      <c r="AI90" s="153" t="s">
        <v>109</v>
      </c>
    </row>
    <row r="91" spans="1:38" s="148" customFormat="1" x14ac:dyDescent="0.2">
      <c r="A91" s="147"/>
      <c r="L91" s="149"/>
      <c r="N91" s="149"/>
      <c r="P91" s="149"/>
      <c r="S91" s="149"/>
      <c r="T91" s="149"/>
      <c r="U91" s="149"/>
      <c r="V91" s="149"/>
      <c r="X91" s="151">
        <f t="shared" ref="X91:AG91" si="71">(X23+X24)-((X30+X39+X40)/6)</f>
        <v>4052066.4433333329</v>
      </c>
      <c r="Y91" s="151">
        <f t="shared" si="71"/>
        <v>4429722.5449999999</v>
      </c>
      <c r="Z91" s="151">
        <f t="shared" si="71"/>
        <v>4155312.9483333332</v>
      </c>
      <c r="AA91" s="151">
        <f t="shared" si="71"/>
        <v>5551567.6383333337</v>
      </c>
      <c r="AB91" s="151">
        <f t="shared" si="71"/>
        <v>6749287.4849999994</v>
      </c>
      <c r="AC91" s="151">
        <f t="shared" si="71"/>
        <v>7787142.8766666679</v>
      </c>
      <c r="AD91" s="151">
        <f t="shared" si="71"/>
        <v>7553186.2133333329</v>
      </c>
      <c r="AE91" s="151">
        <f t="shared" si="71"/>
        <v>10825720.776666667</v>
      </c>
      <c r="AF91" s="151">
        <f t="shared" si="71"/>
        <v>14896567.369999999</v>
      </c>
      <c r="AG91" s="151">
        <f t="shared" si="71"/>
        <v>-744286.90499999991</v>
      </c>
      <c r="AH91" s="152"/>
      <c r="AI91" s="153" t="s">
        <v>110</v>
      </c>
    </row>
    <row r="92" spans="1:38" s="148" customFormat="1" x14ac:dyDescent="0.2">
      <c r="A92" s="147"/>
      <c r="L92" s="149"/>
      <c r="N92" s="149"/>
      <c r="P92" s="149"/>
      <c r="S92" s="149"/>
      <c r="T92" s="149"/>
      <c r="U92" s="149"/>
      <c r="V92" s="149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2"/>
      <c r="AI92" s="153"/>
    </row>
    <row r="93" spans="1:38" x14ac:dyDescent="0.2">
      <c r="L93" s="1"/>
      <c r="N93" s="2"/>
      <c r="P93" s="143"/>
      <c r="Q93" s="2"/>
      <c r="R93" s="2"/>
      <c r="X93" s="154">
        <f t="shared" ref="X93:AG93" si="72">(X23+X24+X25)/(X30+X31)</f>
        <v>1.3728607757212115</v>
      </c>
      <c r="Y93" s="154">
        <f t="shared" si="72"/>
        <v>1.5629813501746841</v>
      </c>
      <c r="Z93" s="154">
        <f t="shared" si="72"/>
        <v>1.7499520700505766</v>
      </c>
      <c r="AA93" s="154">
        <f t="shared" si="72"/>
        <v>1.5375884881634383</v>
      </c>
      <c r="AB93" s="154">
        <f t="shared" si="72"/>
        <v>1.9829026487250019</v>
      </c>
      <c r="AC93" s="154">
        <f t="shared" si="72"/>
        <v>1.573219871962531</v>
      </c>
      <c r="AD93" s="154">
        <f t="shared" si="72"/>
        <v>1.3255635694674182</v>
      </c>
      <c r="AE93" s="154">
        <f t="shared" si="72"/>
        <v>1.5959464215911074</v>
      </c>
      <c r="AF93" s="154">
        <f t="shared" si="72"/>
        <v>3.8676817577213591</v>
      </c>
      <c r="AG93" s="154" t="e">
        <f t="shared" si="72"/>
        <v>#DIV/0!</v>
      </c>
      <c r="AH93" s="152"/>
      <c r="AI93" s="153" t="s">
        <v>111</v>
      </c>
    </row>
    <row r="94" spans="1:38" x14ac:dyDescent="0.2">
      <c r="L94" s="1"/>
      <c r="N94" s="2"/>
      <c r="P94" s="143"/>
      <c r="Q94" s="2"/>
      <c r="R94" s="2"/>
      <c r="X94" s="155">
        <f t="shared" ref="X94:AG94" si="73">X89/((X11+X13)/260)</f>
        <v>33.543218304501593</v>
      </c>
      <c r="Y94" s="155">
        <f t="shared" si="73"/>
        <v>23.871339117059904</v>
      </c>
      <c r="Z94" s="155">
        <f t="shared" si="73"/>
        <v>27.031636960400171</v>
      </c>
      <c r="AA94" s="155">
        <f t="shared" si="73"/>
        <v>26.263670146674169</v>
      </c>
      <c r="AB94" s="155">
        <f t="shared" si="73"/>
        <v>37.993410008380692</v>
      </c>
      <c r="AC94" s="155">
        <f t="shared" si="73"/>
        <v>30.215835082359408</v>
      </c>
      <c r="AD94" s="155">
        <f t="shared" si="73"/>
        <v>19.154070173129735</v>
      </c>
      <c r="AE94" s="155">
        <f t="shared" si="73"/>
        <v>34.60030191224029</v>
      </c>
      <c r="AF94" s="155">
        <f t="shared" si="73"/>
        <v>87.694934340240906</v>
      </c>
      <c r="AG94" s="155">
        <f t="shared" si="73"/>
        <v>0</v>
      </c>
      <c r="AH94" s="152"/>
      <c r="AI94" s="153" t="s">
        <v>112</v>
      </c>
    </row>
    <row r="95" spans="1:38" x14ac:dyDescent="0.2">
      <c r="L95" s="1"/>
      <c r="N95" s="2"/>
      <c r="P95" s="143"/>
      <c r="Q95" s="2"/>
      <c r="R95" s="2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2"/>
      <c r="AI95" s="153"/>
    </row>
    <row r="96" spans="1:38" x14ac:dyDescent="0.2">
      <c r="L96" s="1"/>
      <c r="N96" s="2"/>
      <c r="P96" s="143"/>
      <c r="Q96" s="2"/>
      <c r="R96" s="2"/>
      <c r="X96" s="154">
        <f t="shared" ref="X96:AG96" si="74">X10/X89</f>
        <v>13.791118610558097</v>
      </c>
      <c r="Y96" s="154">
        <f t="shared" si="74"/>
        <v>12.350510105253944</v>
      </c>
      <c r="Z96" s="154">
        <f t="shared" si="74"/>
        <v>10.56878094545962</v>
      </c>
      <c r="AA96" s="154">
        <f t="shared" si="74"/>
        <v>11.432592979366703</v>
      </c>
      <c r="AB96" s="154">
        <f t="shared" si="74"/>
        <v>7.6669670993813286</v>
      </c>
      <c r="AC96" s="154">
        <f t="shared" si="74"/>
        <v>9.9007724753330759</v>
      </c>
      <c r="AD96" s="154">
        <f t="shared" si="74"/>
        <v>15.635326228130886</v>
      </c>
      <c r="AE96" s="154">
        <f t="shared" si="74"/>
        <v>8.1216373599928673</v>
      </c>
      <c r="AF96" s="154">
        <f t="shared" si="74"/>
        <v>3.477493595238879</v>
      </c>
      <c r="AG96" s="154" t="e">
        <f t="shared" si="74"/>
        <v>#DIV/0!</v>
      </c>
      <c r="AH96" s="152"/>
      <c r="AI96" s="153" t="s">
        <v>126</v>
      </c>
    </row>
    <row r="97" spans="12:35" x14ac:dyDescent="0.2">
      <c r="L97" s="1"/>
      <c r="N97" s="2"/>
      <c r="P97" s="143"/>
      <c r="Q97" s="2"/>
      <c r="R97" s="2"/>
      <c r="X97" s="156">
        <f t="shared" ref="X97:AG97" si="75">X89/X10</f>
        <v>7.251043430475812E-2</v>
      </c>
      <c r="Y97" s="156">
        <f t="shared" si="75"/>
        <v>8.0968315598122301E-2</v>
      </c>
      <c r="Z97" s="156">
        <f t="shared" si="75"/>
        <v>9.4618291850357902E-2</v>
      </c>
      <c r="AA97" s="156">
        <f t="shared" si="75"/>
        <v>8.7469220832472425E-2</v>
      </c>
      <c r="AB97" s="156">
        <f t="shared" si="75"/>
        <v>0.13042967147735551</v>
      </c>
      <c r="AC97" s="156">
        <f t="shared" si="75"/>
        <v>0.10100222002792349</v>
      </c>
      <c r="AD97" s="156">
        <f t="shared" si="75"/>
        <v>6.3957731703788337E-2</v>
      </c>
      <c r="AE97" s="156">
        <f t="shared" si="75"/>
        <v>0.12312788119868459</v>
      </c>
      <c r="AF97" s="156">
        <f t="shared" si="75"/>
        <v>0.28756343401153184</v>
      </c>
      <c r="AG97" s="156">
        <f t="shared" si="75"/>
        <v>0</v>
      </c>
      <c r="AH97" s="152"/>
      <c r="AI97" s="153" t="s">
        <v>125</v>
      </c>
    </row>
    <row r="98" spans="12:35" x14ac:dyDescent="0.2">
      <c r="N98" s="2"/>
      <c r="Q98" s="2"/>
      <c r="R98" s="2"/>
      <c r="X98" s="144">
        <f t="shared" ref="X98:AG98" si="76">(X22+X23+X24+X25)/(X29+X30+X31)</f>
        <v>0.88804059788410428</v>
      </c>
      <c r="Y98" s="144">
        <f t="shared" si="76"/>
        <v>0.93837165354395857</v>
      </c>
      <c r="Z98" s="144">
        <f t="shared" si="76"/>
        <v>0.78908924779414291</v>
      </c>
      <c r="AA98" s="144">
        <f t="shared" si="76"/>
        <v>1.5082662344816666</v>
      </c>
      <c r="AB98" s="144">
        <f t="shared" si="76"/>
        <v>1.54459566693368</v>
      </c>
      <c r="AC98" s="144">
        <f t="shared" si="76"/>
        <v>1.8674885038893076</v>
      </c>
      <c r="AD98" s="144">
        <f t="shared" si="76"/>
        <v>2.0924281198586367</v>
      </c>
      <c r="AE98" s="144">
        <f t="shared" si="76"/>
        <v>2.1299137947984019</v>
      </c>
      <c r="AF98" s="144">
        <f t="shared" si="76"/>
        <v>3.51070635966513</v>
      </c>
      <c r="AG98" s="144" t="e">
        <f t="shared" si="76"/>
        <v>#DIV/0!</v>
      </c>
      <c r="AH98" s="157"/>
      <c r="AI98" s="153" t="s">
        <v>113</v>
      </c>
    </row>
    <row r="99" spans="12:35" x14ac:dyDescent="0.2">
      <c r="N99" s="2"/>
      <c r="Q99" s="2"/>
      <c r="R99" s="2"/>
      <c r="X99" s="144">
        <f t="shared" ref="X99:AG99" si="77">(X22+X23)/(X29+X30+X31)</f>
        <v>6.8812986679375104E-2</v>
      </c>
      <c r="Y99" s="144">
        <f t="shared" si="77"/>
        <v>-3.584780361613419E-2</v>
      </c>
      <c r="Z99" s="144">
        <f t="shared" si="77"/>
        <v>1.8216881364967654E-3</v>
      </c>
      <c r="AA99" s="144">
        <f t="shared" si="77"/>
        <v>0.22694257500857876</v>
      </c>
      <c r="AB99" s="144">
        <f t="shared" si="77"/>
        <v>3.6036874732052152E-2</v>
      </c>
      <c r="AC99" s="144">
        <f t="shared" si="77"/>
        <v>0.86127402818220689</v>
      </c>
      <c r="AD99" s="144">
        <f t="shared" si="77"/>
        <v>1.047218034530067</v>
      </c>
      <c r="AE99" s="144">
        <f t="shared" si="77"/>
        <v>0.88019480057463617</v>
      </c>
      <c r="AF99" s="144">
        <f t="shared" si="77"/>
        <v>1.9115791422158466</v>
      </c>
      <c r="AG99" s="144" t="e">
        <f t="shared" si="77"/>
        <v>#DIV/0!</v>
      </c>
      <c r="AH99" s="157"/>
      <c r="AI99" s="153" t="s">
        <v>114</v>
      </c>
    </row>
    <row r="100" spans="12:35" x14ac:dyDescent="0.2">
      <c r="N100" s="2"/>
      <c r="Q100" s="2"/>
      <c r="R100" s="2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57"/>
      <c r="AI100" s="153"/>
    </row>
    <row r="101" spans="12:35" x14ac:dyDescent="0.2">
      <c r="N101" s="2"/>
      <c r="Q101" s="2"/>
      <c r="R101" s="2"/>
      <c r="X101" s="145">
        <f t="shared" ref="X101:AG101" si="78">(X22+X23+X24+X25)-(X29+X30+X31)</f>
        <v>-738986.23000000138</v>
      </c>
      <c r="Y101" s="145">
        <f t="shared" si="78"/>
        <v>-360524.13999999966</v>
      </c>
      <c r="Z101" s="145">
        <f t="shared" si="78"/>
        <v>-1534148.6600000001</v>
      </c>
      <c r="AA101" s="145">
        <f t="shared" si="78"/>
        <v>2682340.1599999992</v>
      </c>
      <c r="AB101" s="145">
        <f t="shared" si="78"/>
        <v>3048779.6099999994</v>
      </c>
      <c r="AC101" s="145">
        <f t="shared" si="78"/>
        <v>6816238.870000001</v>
      </c>
      <c r="AD101" s="145">
        <f t="shared" si="78"/>
        <v>8801820.2800000012</v>
      </c>
      <c r="AE101" s="145">
        <f t="shared" si="78"/>
        <v>10401788.66</v>
      </c>
      <c r="AF101" s="145">
        <f t="shared" si="78"/>
        <v>14998721.150000002</v>
      </c>
      <c r="AG101" s="145">
        <f t="shared" si="78"/>
        <v>0</v>
      </c>
      <c r="AH101" s="157"/>
      <c r="AI101" s="153" t="s">
        <v>115</v>
      </c>
    </row>
    <row r="102" spans="12:35" x14ac:dyDescent="0.2">
      <c r="N102" s="2"/>
      <c r="Q102" s="2"/>
      <c r="R102" s="2"/>
      <c r="X102" s="145">
        <f t="shared" ref="X102:AA102" si="79">(X32+X35)-(X26)</f>
        <v>-738986.23000000045</v>
      </c>
      <c r="Y102" s="145">
        <f t="shared" si="79"/>
        <v>-360524.13999999687</v>
      </c>
      <c r="Z102" s="145">
        <f t="shared" si="79"/>
        <v>-1534148.6600000001</v>
      </c>
      <c r="AA102" s="145">
        <f t="shared" si="79"/>
        <v>2802843.1599999964</v>
      </c>
      <c r="AB102" s="145">
        <f>(AB32+AB33+AB35)-(AB26+AB27)</f>
        <v>2629067.6999999993</v>
      </c>
      <c r="AC102" s="145">
        <f>(AC32+AC33+AC35)-(AC26+AC27)</f>
        <v>6816238.8699999936</v>
      </c>
      <c r="AD102" s="145">
        <f>(AD32+AD33+AD35)-(AD26+AD27)</f>
        <v>8801820.2799999975</v>
      </c>
      <c r="AE102" s="145">
        <f>(AE32+AE33+AE35)-(AE26+AE27)</f>
        <v>10401788.66</v>
      </c>
      <c r="AF102" s="145">
        <f>(AF32+AF33+AF35)-(AF26+AF27)</f>
        <v>14998721.150000006</v>
      </c>
      <c r="AG102" s="145">
        <f t="shared" ref="AG102" si="80">(AG32+AG33+AG35)-(AG26+AG27)</f>
        <v>0</v>
      </c>
      <c r="AH102" s="157"/>
      <c r="AI102" s="153" t="s">
        <v>116</v>
      </c>
    </row>
    <row r="103" spans="12:35" x14ac:dyDescent="0.2">
      <c r="N103" s="2"/>
      <c r="Q103" s="2"/>
      <c r="R103" s="2"/>
      <c r="X103" s="145">
        <f t="shared" ref="X103:AG103" si="81">X29-X22</f>
        <v>2258262.7000000002</v>
      </c>
      <c r="Y103" s="145">
        <f t="shared" si="81"/>
        <v>2468604.7600000002</v>
      </c>
      <c r="Z103" s="145">
        <f t="shared" si="81"/>
        <v>4067488.7999999993</v>
      </c>
      <c r="AA103" s="145">
        <f t="shared" si="81"/>
        <v>-157486.17000000004</v>
      </c>
      <c r="AB103" s="145">
        <f t="shared" si="81"/>
        <v>1334154.08</v>
      </c>
      <c r="AC103" s="145">
        <f t="shared" si="81"/>
        <v>-3313995</v>
      </c>
      <c r="AD103" s="145">
        <f t="shared" si="81"/>
        <v>-6420552.9199999999</v>
      </c>
      <c r="AE103" s="145">
        <f t="shared" si="81"/>
        <v>-5471370.1600000001</v>
      </c>
      <c r="AF103" s="145">
        <f t="shared" si="81"/>
        <v>-2734544</v>
      </c>
      <c r="AG103" s="145">
        <f t="shared" si="81"/>
        <v>0</v>
      </c>
      <c r="AH103" s="157"/>
      <c r="AI103" s="153" t="s">
        <v>117</v>
      </c>
    </row>
    <row r="104" spans="12:35" x14ac:dyDescent="0.2">
      <c r="L104" s="1"/>
      <c r="Q104" s="2"/>
      <c r="R104" s="2"/>
      <c r="X104" s="158">
        <f t="shared" ref="X104:AG104" si="82">X102/X89</f>
        <v>-0.48640668409746435</v>
      </c>
      <c r="Y104" s="158">
        <f t="shared" si="82"/>
        <v>-0.1710200912524858</v>
      </c>
      <c r="Z104" s="158">
        <f t="shared" si="82"/>
        <v>-0.60558337026152387</v>
      </c>
      <c r="AA104" s="158">
        <f t="shared" si="82"/>
        <v>1.1101010874692192</v>
      </c>
      <c r="AB104" s="158">
        <f t="shared" si="82"/>
        <v>0.59984199760959644</v>
      </c>
      <c r="AC104" s="158">
        <f t="shared" si="82"/>
        <v>1.9462490686006944</v>
      </c>
      <c r="AD104" s="158">
        <f t="shared" si="82"/>
        <v>3.6962755328742238</v>
      </c>
      <c r="AE104" s="158">
        <f t="shared" si="82"/>
        <v>2.1097171893217577</v>
      </c>
      <c r="AF104" s="158">
        <f t="shared" si="82"/>
        <v>1.2229700343165713</v>
      </c>
      <c r="AG104" s="158" t="e">
        <f t="shared" si="82"/>
        <v>#DIV/0!</v>
      </c>
      <c r="AH104" s="157"/>
      <c r="AI104" s="153" t="s">
        <v>118</v>
      </c>
    </row>
    <row r="105" spans="12:35" x14ac:dyDescent="0.2">
      <c r="L105" s="1"/>
      <c r="Q105" s="2"/>
      <c r="R105" s="2"/>
      <c r="X105" s="158">
        <f t="shared" ref="X105:AG105" si="83">X103/X89</f>
        <v>1.4864066840974646</v>
      </c>
      <c r="Y105" s="158">
        <f t="shared" si="83"/>
        <v>1.1710200912524873</v>
      </c>
      <c r="Z105" s="158">
        <f t="shared" si="83"/>
        <v>1.6055833702615239</v>
      </c>
      <c r="AA105" s="158">
        <f t="shared" si="83"/>
        <v>-6.2374367240142899E-2</v>
      </c>
      <c r="AB105" s="158">
        <f t="shared" si="83"/>
        <v>0.3043975050418799</v>
      </c>
      <c r="AC105" s="158">
        <f t="shared" si="83"/>
        <v>-0.94624906860069657</v>
      </c>
      <c r="AD105" s="158">
        <f t="shared" si="83"/>
        <v>-2.6962755328742252</v>
      </c>
      <c r="AE105" s="158">
        <f t="shared" si="83"/>
        <v>-1.1097171893217579</v>
      </c>
      <c r="AF105" s="158">
        <f t="shared" si="83"/>
        <v>-0.22297003431657053</v>
      </c>
      <c r="AG105" s="158" t="e">
        <f t="shared" si="83"/>
        <v>#DIV/0!</v>
      </c>
      <c r="AH105" s="157"/>
      <c r="AI105" s="153" t="s">
        <v>119</v>
      </c>
    </row>
    <row r="106" spans="12:35" x14ac:dyDescent="0.2">
      <c r="N106" s="2"/>
      <c r="Q106" s="2"/>
      <c r="R106" s="2"/>
      <c r="X106" s="145">
        <f t="shared" ref="X106:AG106" si="84">X102+X103</f>
        <v>1519276.4699999997</v>
      </c>
      <c r="Y106" s="145">
        <f t="shared" si="84"/>
        <v>2108080.6200000034</v>
      </c>
      <c r="Z106" s="145">
        <f t="shared" si="84"/>
        <v>2533340.1399999992</v>
      </c>
      <c r="AA106" s="145">
        <f t="shared" si="84"/>
        <v>2645356.9899999965</v>
      </c>
      <c r="AB106" s="145">
        <f t="shared" si="84"/>
        <v>3963221.7799999993</v>
      </c>
      <c r="AC106" s="145">
        <f t="shared" si="84"/>
        <v>3502243.8699999936</v>
      </c>
      <c r="AD106" s="145">
        <f t="shared" si="84"/>
        <v>2381267.3599999975</v>
      </c>
      <c r="AE106" s="145">
        <f t="shared" si="84"/>
        <v>4930418.5</v>
      </c>
      <c r="AF106" s="145">
        <f t="shared" si="84"/>
        <v>12264177.150000006</v>
      </c>
      <c r="AG106" s="145">
        <f t="shared" si="84"/>
        <v>0</v>
      </c>
      <c r="AH106" s="157"/>
      <c r="AI106" s="153" t="s">
        <v>120</v>
      </c>
    </row>
  </sheetData>
  <sheetProtection selectLockedCells="1" selectUnlockedCells="1"/>
  <mergeCells count="5">
    <mergeCell ref="A16:B16"/>
    <mergeCell ref="I2:K2"/>
    <mergeCell ref="A1:K1"/>
    <mergeCell ref="X7:AI7"/>
    <mergeCell ref="A5:AI5"/>
  </mergeCells>
  <dataValidations count="3">
    <dataValidation type="list" allowBlank="1" showInputMessage="1" showErrorMessage="1" sqref="F2" xr:uid="{7BB18C76-96CA-2945-921A-DA6147D31872}">
      <formula1>"Nursery, Greenhouse"</formula1>
    </dataValidation>
    <dataValidation type="list" allowBlank="1" showInputMessage="1" showErrorMessage="1" sqref="H2:H4" xr:uid="{8F2BB929-A7FE-3A48-AF5D-6419545725DC}">
      <formula1>"Cash, Accrual"</formula1>
    </dataValidation>
    <dataValidation type="list" allowBlank="1" showInputMessage="1" showErrorMessage="1" sqref="F3:F4" xr:uid="{AAAEF52E-8B3E-EB48-ACE3-B016B82678FB}">
      <formula1>"Yes, No"</formula1>
    </dataValidation>
  </dataValidations>
  <printOptions horizontalCentered="1" verticalCentered="1"/>
  <pageMargins left="0.75" right="0.75" top="0.75" bottom="0.75" header="0" footer="0"/>
  <pageSetup scale="18" orientation="landscape" r:id="rId1"/>
  <headerFooter>
    <oddHeader>&amp;C&amp;K000000&amp;F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EDEDB00E4A04D867F6C47EB2DFA87" ma:contentTypeVersion="19" ma:contentTypeDescription="Create a new document." ma:contentTypeScope="" ma:versionID="7906b2605bce579ecef1d7dfca9aaf29">
  <xsd:schema xmlns:xsd="http://www.w3.org/2001/XMLSchema" xmlns:xs="http://www.w3.org/2001/XMLSchema" xmlns:p="http://schemas.microsoft.com/office/2006/metadata/properties" xmlns:ns2="3e2a9dd1-8196-4dae-a9c4-6e48b197ad2c" xmlns:ns3="f2a51eda-eda9-499c-be2a-99cb5494d14a" targetNamespace="http://schemas.microsoft.com/office/2006/metadata/properties" ma:root="true" ma:fieldsID="12b72a24b2f66647002b702d39278843" ns2:_="" ns3:_="">
    <xsd:import namespace="3e2a9dd1-8196-4dae-a9c4-6e48b197ad2c"/>
    <xsd:import namespace="f2a51eda-eda9-499c-be2a-99cb5494d1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a9dd1-8196-4dae-a9c4-6e48b197ad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43cdb5-0b71-4876-a657-f4b17aaf372f}" ma:internalName="TaxCatchAll" ma:showField="CatchAllData" ma:web="3e2a9dd1-8196-4dae-a9c4-6e48b197ad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51eda-eda9-499c-be2a-99cb5494d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02dc0f-b206-4fc5-b43c-b4dcda072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2a9dd1-8196-4dae-a9c4-6e48b197ad2c" xsi:nil="true"/>
    <lcf76f155ced4ddcb4097134ff3c332f xmlns="f2a51eda-eda9-499c-be2a-99cb5494d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682E9C-2FD2-42F9-9615-480B539233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ACBDB-5311-4A41-B033-71364BCF7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a9dd1-8196-4dae-a9c4-6e48b197ad2c"/>
    <ds:schemaRef ds:uri="f2a51eda-eda9-499c-be2a-99cb5494d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AAA56-1E34-4C56-ACCF-88EE4C66BFC6}">
  <ds:schemaRefs>
    <ds:schemaRef ds:uri="http://schemas.microsoft.com/office/2006/metadata/properties"/>
    <ds:schemaRef ds:uri="http://schemas.microsoft.com/office/infopath/2007/PartnerControls"/>
    <ds:schemaRef ds:uri="3e2a9dd1-8196-4dae-a9c4-6e48b197ad2c"/>
    <ds:schemaRef ds:uri="f2a51eda-eda9-499c-be2a-99cb5494d1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Entry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McKenna</dc:creator>
  <cp:keywords/>
  <dc:description/>
  <cp:lastModifiedBy>Charlie Hall</cp:lastModifiedBy>
  <cp:revision/>
  <cp:lastPrinted>2020-09-11T21:57:43Z</cp:lastPrinted>
  <dcterms:created xsi:type="dcterms:W3CDTF">2018-07-11T23:32:02Z</dcterms:created>
  <dcterms:modified xsi:type="dcterms:W3CDTF">2024-11-01T16:32:00Z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0x0101006AFEDEDB00E4A04D867F6C47EB2DFA87</vt:lpwstr>
  </property>
  <property fmtid="{D5CDD505-2E9C-101B-9397-08002B2CF9AE}" pid="3" name="MediaServiceImageTags">
    <vt:lpwstr/>
  </property>
</Properties>
</file>